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8800" windowHeight="11565"/>
  </bookViews>
  <sheets>
    <sheet name="Pallets" sheetId="62" r:id="rId1"/>
    <sheet name="10041825" sheetId="9" r:id="rId2"/>
    <sheet name="10046104" sheetId="10" r:id="rId3"/>
    <sheet name="10063308" sheetId="17" r:id="rId4"/>
    <sheet name="10071075" sheetId="20" r:id="rId5"/>
    <sheet name="10077602" sheetId="24" r:id="rId6"/>
    <sheet name="AMZ Apparel" sheetId="63" r:id="rId7"/>
  </sheets>
  <definedNames>
    <definedName name="Index_Sheet_Kutools">#REF!</definedName>
  </definedNames>
  <calcPr calcId="191029"/>
</workbook>
</file>

<file path=xl/calcChain.xml><?xml version="1.0" encoding="utf-8"?>
<calcChain xmlns="http://schemas.openxmlformats.org/spreadsheetml/2006/main">
  <c r="M222" i="24" l="1"/>
  <c r="M221" i="24"/>
  <c r="M220" i="24"/>
  <c r="M219" i="24"/>
  <c r="M218" i="24"/>
  <c r="M217" i="24"/>
  <c r="M216" i="24"/>
  <c r="M215" i="24"/>
  <c r="M214" i="24"/>
  <c r="M213" i="24"/>
  <c r="M212" i="24"/>
  <c r="M211" i="24"/>
  <c r="M210" i="24"/>
  <c r="M209" i="24"/>
  <c r="M208" i="24"/>
  <c r="M207" i="24"/>
  <c r="M206" i="24"/>
  <c r="M205" i="24"/>
  <c r="M204" i="24"/>
  <c r="M203" i="24"/>
  <c r="M202" i="24"/>
  <c r="M201" i="24"/>
  <c r="M200" i="24"/>
  <c r="M199" i="24"/>
  <c r="M198" i="24"/>
  <c r="M197" i="24"/>
  <c r="M196" i="24"/>
  <c r="M195" i="24"/>
  <c r="M194" i="24"/>
  <c r="M193" i="24"/>
  <c r="M192" i="24"/>
  <c r="M191" i="24"/>
  <c r="M190" i="24"/>
  <c r="M189" i="24"/>
  <c r="M188" i="24"/>
  <c r="M187" i="24"/>
  <c r="M186" i="24"/>
  <c r="M185" i="24"/>
  <c r="M184" i="24"/>
  <c r="M183" i="24"/>
  <c r="M182" i="24"/>
  <c r="M181" i="24"/>
  <c r="M180" i="24"/>
  <c r="M179" i="24"/>
  <c r="M178" i="24"/>
  <c r="M177" i="24"/>
  <c r="M176" i="24"/>
  <c r="M175" i="24"/>
  <c r="M174" i="24"/>
  <c r="M173" i="24"/>
  <c r="M172" i="24"/>
  <c r="M171" i="24"/>
  <c r="M170" i="24"/>
  <c r="M169" i="24"/>
  <c r="M168" i="24"/>
  <c r="M167" i="24"/>
  <c r="M166" i="24"/>
  <c r="M165" i="24"/>
  <c r="M164" i="24"/>
  <c r="M163" i="24"/>
  <c r="M162" i="24"/>
  <c r="M161" i="24"/>
  <c r="M160" i="24"/>
  <c r="M159" i="24"/>
  <c r="M158" i="24"/>
  <c r="M157" i="24"/>
  <c r="M156" i="24"/>
  <c r="M155" i="24"/>
  <c r="M154" i="24"/>
  <c r="M153" i="24"/>
  <c r="M152" i="24"/>
  <c r="M151" i="24"/>
  <c r="M150" i="24"/>
  <c r="M149" i="24"/>
  <c r="M148" i="24"/>
  <c r="M147" i="24"/>
  <c r="M146" i="24"/>
  <c r="M145" i="24"/>
  <c r="M144" i="24"/>
  <c r="M143" i="24"/>
  <c r="M142" i="24"/>
  <c r="M141" i="24"/>
  <c r="M140" i="24"/>
  <c r="M139" i="24"/>
  <c r="M138" i="24"/>
  <c r="M137" i="24"/>
  <c r="M136" i="24"/>
  <c r="M135" i="24"/>
  <c r="M134" i="24"/>
  <c r="M133" i="24"/>
  <c r="M132" i="24"/>
  <c r="M131" i="24"/>
  <c r="M130" i="24"/>
  <c r="M129" i="24"/>
  <c r="M128" i="24"/>
  <c r="M127" i="24"/>
  <c r="M126" i="24"/>
  <c r="M125" i="24"/>
  <c r="M124" i="24"/>
  <c r="M123" i="24"/>
  <c r="M122" i="24"/>
  <c r="M121" i="24"/>
  <c r="M120" i="24"/>
  <c r="M119" i="24"/>
  <c r="M118" i="24"/>
  <c r="M117" i="24"/>
  <c r="M116" i="24"/>
  <c r="M115" i="24"/>
  <c r="M114" i="24"/>
  <c r="M113" i="24"/>
  <c r="M112" i="24"/>
  <c r="M111" i="24"/>
  <c r="M110" i="24"/>
  <c r="M109" i="24"/>
  <c r="M108" i="24"/>
  <c r="M107" i="24"/>
  <c r="M106" i="24"/>
  <c r="M105" i="24"/>
  <c r="M104" i="24"/>
  <c r="M103" i="24"/>
  <c r="M102" i="24"/>
  <c r="M101" i="24"/>
  <c r="M100" i="24"/>
  <c r="M99" i="24"/>
  <c r="M98" i="24"/>
  <c r="M97" i="24"/>
  <c r="M96" i="24"/>
  <c r="M95" i="24"/>
  <c r="M94" i="24"/>
  <c r="M93" i="24"/>
  <c r="M92" i="24"/>
  <c r="M91" i="24"/>
  <c r="M90" i="24"/>
  <c r="M89" i="24"/>
  <c r="M88" i="24"/>
  <c r="M87" i="24"/>
  <c r="M86" i="24"/>
  <c r="M85" i="24"/>
  <c r="M84" i="24"/>
  <c r="M83" i="24"/>
  <c r="M82" i="24"/>
  <c r="M81" i="24"/>
  <c r="M80" i="24"/>
  <c r="M79" i="24"/>
  <c r="M78" i="24"/>
  <c r="M77" i="24"/>
  <c r="M76" i="24"/>
  <c r="M75" i="24"/>
  <c r="M74" i="24"/>
  <c r="M73" i="24"/>
  <c r="M72" i="24"/>
  <c r="M71" i="24"/>
  <c r="M70" i="24"/>
  <c r="M69" i="24"/>
  <c r="M68" i="24"/>
  <c r="M67" i="24"/>
  <c r="M66" i="24"/>
  <c r="M65" i="24"/>
  <c r="M64" i="24"/>
  <c r="M63" i="24"/>
  <c r="M62" i="24"/>
  <c r="M61" i="24"/>
  <c r="M60" i="24"/>
  <c r="M59" i="24"/>
  <c r="M58" i="24"/>
  <c r="M57" i="24"/>
  <c r="M56" i="24"/>
  <c r="M55" i="24"/>
  <c r="M54" i="24"/>
  <c r="M53" i="24"/>
  <c r="M52" i="24"/>
  <c r="M51" i="24"/>
  <c r="M50" i="24"/>
  <c r="M49" i="24"/>
  <c r="M48" i="24"/>
  <c r="M47" i="24"/>
  <c r="M46" i="24"/>
  <c r="M45" i="24"/>
  <c r="M44" i="24"/>
  <c r="M43" i="24"/>
  <c r="M42" i="24"/>
  <c r="M41" i="24"/>
  <c r="M40" i="24"/>
  <c r="M39" i="24"/>
  <c r="M38" i="24"/>
  <c r="M37" i="24"/>
  <c r="M36" i="24"/>
  <c r="M35" i="24"/>
  <c r="M34" i="24"/>
  <c r="M33" i="24"/>
  <c r="M32" i="24"/>
  <c r="M31" i="24"/>
  <c r="M30" i="24"/>
  <c r="M29" i="24"/>
  <c r="M28" i="24"/>
  <c r="M27" i="24"/>
  <c r="M26" i="24"/>
  <c r="M25" i="24"/>
  <c r="M24" i="24"/>
  <c r="M23" i="24"/>
  <c r="M22" i="24"/>
  <c r="M21" i="24"/>
  <c r="M20" i="24"/>
  <c r="M19" i="24"/>
  <c r="M18" i="24"/>
  <c r="M17" i="24"/>
  <c r="M16" i="24"/>
  <c r="M15" i="24"/>
  <c r="M14" i="24"/>
  <c r="M13" i="24"/>
  <c r="M12" i="24"/>
  <c r="M11" i="24"/>
  <c r="M10" i="24"/>
  <c r="M9" i="24"/>
  <c r="M8" i="24"/>
  <c r="M7" i="24"/>
  <c r="M6" i="24"/>
  <c r="M5" i="24"/>
  <c r="M4" i="24"/>
  <c r="M3" i="24"/>
  <c r="M2" i="24"/>
  <c r="M232" i="20"/>
  <c r="M231" i="20"/>
  <c r="M230" i="20"/>
  <c r="M229" i="20"/>
  <c r="M228" i="20"/>
  <c r="M227" i="20"/>
  <c r="M226" i="20"/>
  <c r="M225" i="20"/>
  <c r="M224" i="20"/>
  <c r="M223" i="20"/>
  <c r="M222" i="20"/>
  <c r="M221" i="20"/>
  <c r="M220" i="20"/>
  <c r="M219" i="20"/>
  <c r="M218" i="20"/>
  <c r="M217" i="20"/>
  <c r="M216" i="20"/>
  <c r="M215" i="20"/>
  <c r="M214" i="20"/>
  <c r="M213" i="20"/>
  <c r="M212" i="20"/>
  <c r="M211" i="20"/>
  <c r="M210" i="20"/>
  <c r="M209" i="20"/>
  <c r="M208" i="20"/>
  <c r="M207" i="20"/>
  <c r="M206" i="20"/>
  <c r="M205" i="20"/>
  <c r="M204" i="20"/>
  <c r="M203" i="20"/>
  <c r="M202" i="20"/>
  <c r="M201" i="20"/>
  <c r="M200" i="20"/>
  <c r="M199" i="20"/>
  <c r="M198" i="20"/>
  <c r="M197" i="20"/>
  <c r="M196" i="20"/>
  <c r="M195" i="20"/>
  <c r="M194" i="20"/>
  <c r="M193" i="20"/>
  <c r="M192" i="20"/>
  <c r="M191" i="20"/>
  <c r="M190" i="20"/>
  <c r="M189" i="20"/>
  <c r="M188" i="20"/>
  <c r="M187" i="20"/>
  <c r="M186" i="20"/>
  <c r="M185" i="20"/>
  <c r="M184" i="20"/>
  <c r="M183" i="20"/>
  <c r="M182" i="20"/>
  <c r="M181" i="20"/>
  <c r="M180" i="20"/>
  <c r="M179" i="20"/>
  <c r="M178" i="20"/>
  <c r="M177" i="20"/>
  <c r="M176" i="20"/>
  <c r="M175" i="20"/>
  <c r="M174" i="20"/>
  <c r="M173" i="20"/>
  <c r="M172" i="20"/>
  <c r="M171" i="20"/>
  <c r="M170" i="20"/>
  <c r="M169" i="20"/>
  <c r="M168" i="20"/>
  <c r="M167" i="20"/>
  <c r="M166" i="20"/>
  <c r="M165" i="20"/>
  <c r="M164" i="20"/>
  <c r="M163" i="20"/>
  <c r="M162" i="20"/>
  <c r="M161" i="20"/>
  <c r="M160" i="20"/>
  <c r="M159" i="20"/>
  <c r="M158" i="20"/>
  <c r="M157" i="20"/>
  <c r="M156" i="20"/>
  <c r="M155" i="20"/>
  <c r="M154" i="20"/>
  <c r="M153" i="20"/>
  <c r="M152" i="20"/>
  <c r="M151" i="20"/>
  <c r="M150" i="20"/>
  <c r="M149" i="20"/>
  <c r="M148" i="20"/>
  <c r="M147" i="20"/>
  <c r="M146" i="20"/>
  <c r="M145" i="20"/>
  <c r="M144" i="20"/>
  <c r="M143" i="20"/>
  <c r="M142" i="20"/>
  <c r="M141" i="20"/>
  <c r="M140" i="20"/>
  <c r="M139" i="20"/>
  <c r="M138" i="20"/>
  <c r="M137" i="20"/>
  <c r="M136" i="20"/>
  <c r="M135" i="20"/>
  <c r="M134" i="20"/>
  <c r="M133" i="20"/>
  <c r="M132" i="20"/>
  <c r="M131" i="20"/>
  <c r="M130" i="20"/>
  <c r="M129" i="20"/>
  <c r="M128" i="20"/>
  <c r="M127" i="20"/>
  <c r="M126" i="20"/>
  <c r="M125" i="20"/>
  <c r="M124" i="20"/>
  <c r="M123" i="20"/>
  <c r="M122" i="20"/>
  <c r="M121" i="20"/>
  <c r="M120" i="20"/>
  <c r="M119" i="20"/>
  <c r="M118" i="20"/>
  <c r="M117" i="20"/>
  <c r="M116" i="20"/>
  <c r="M115" i="20"/>
  <c r="M114" i="20"/>
  <c r="M113" i="20"/>
  <c r="M112" i="20"/>
  <c r="M111" i="20"/>
  <c r="M110" i="20"/>
  <c r="M109" i="20"/>
  <c r="M108" i="20"/>
  <c r="M107" i="20"/>
  <c r="M106" i="20"/>
  <c r="M105" i="20"/>
  <c r="M104" i="20"/>
  <c r="M103" i="20"/>
  <c r="M102" i="20"/>
  <c r="M101" i="20"/>
  <c r="M100" i="20"/>
  <c r="M99" i="20"/>
  <c r="M98" i="20"/>
  <c r="M97" i="20"/>
  <c r="M96" i="20"/>
  <c r="M95" i="20"/>
  <c r="M94" i="20"/>
  <c r="M93" i="20"/>
  <c r="M92" i="20"/>
  <c r="M91" i="20"/>
  <c r="M90" i="20"/>
  <c r="M89" i="20"/>
  <c r="M88" i="20"/>
  <c r="M87" i="20"/>
  <c r="M86" i="20"/>
  <c r="M85" i="20"/>
  <c r="M84" i="20"/>
  <c r="M83" i="20"/>
  <c r="M82" i="20"/>
  <c r="M81" i="20"/>
  <c r="M80" i="20"/>
  <c r="M79" i="20"/>
  <c r="M78" i="20"/>
  <c r="M77" i="20"/>
  <c r="M76" i="20"/>
  <c r="M75" i="20"/>
  <c r="M74" i="20"/>
  <c r="M73" i="20"/>
  <c r="M72" i="20"/>
  <c r="M71" i="20"/>
  <c r="M70" i="20"/>
  <c r="M69" i="20"/>
  <c r="M68" i="20"/>
  <c r="M67" i="20"/>
  <c r="M66" i="20"/>
  <c r="M65" i="20"/>
  <c r="M64" i="20"/>
  <c r="M63" i="20"/>
  <c r="M62" i="20"/>
  <c r="M61" i="20"/>
  <c r="M60" i="20"/>
  <c r="M59" i="20"/>
  <c r="M58" i="20"/>
  <c r="M57" i="20"/>
  <c r="M56" i="20"/>
  <c r="M55" i="20"/>
  <c r="M54" i="20"/>
  <c r="M53" i="20"/>
  <c r="M52" i="20"/>
  <c r="M51" i="20"/>
  <c r="M50" i="20"/>
  <c r="M49" i="20"/>
  <c r="M48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6" i="20"/>
  <c r="M5" i="20"/>
  <c r="M4" i="20"/>
  <c r="M3" i="20"/>
  <c r="M2" i="20"/>
  <c r="M190" i="17"/>
  <c r="M189" i="17"/>
  <c r="M188" i="17"/>
  <c r="M187" i="17"/>
  <c r="M186" i="17"/>
  <c r="M185" i="17"/>
  <c r="M184" i="17"/>
  <c r="M183" i="17"/>
  <c r="M182" i="17"/>
  <c r="M181" i="17"/>
  <c r="M180" i="17"/>
  <c r="M179" i="17"/>
  <c r="M178" i="17"/>
  <c r="M177" i="17"/>
  <c r="M176" i="17"/>
  <c r="M175" i="17"/>
  <c r="M174" i="17"/>
  <c r="M173" i="17"/>
  <c r="M172" i="17"/>
  <c r="M171" i="17"/>
  <c r="M170" i="17"/>
  <c r="M169" i="17"/>
  <c r="M168" i="17"/>
  <c r="M167" i="17"/>
  <c r="M166" i="17"/>
  <c r="M165" i="17"/>
  <c r="M164" i="17"/>
  <c r="M163" i="17"/>
  <c r="M162" i="17"/>
  <c r="M161" i="17"/>
  <c r="M160" i="17"/>
  <c r="M159" i="17"/>
  <c r="M158" i="17"/>
  <c r="M157" i="17"/>
  <c r="M156" i="17"/>
  <c r="M155" i="17"/>
  <c r="M154" i="17"/>
  <c r="M153" i="17"/>
  <c r="M152" i="17"/>
  <c r="M151" i="17"/>
  <c r="M150" i="17"/>
  <c r="M149" i="17"/>
  <c r="M148" i="17"/>
  <c r="M147" i="17"/>
  <c r="M146" i="17"/>
  <c r="M145" i="17"/>
  <c r="M144" i="17"/>
  <c r="M143" i="17"/>
  <c r="M142" i="17"/>
  <c r="M141" i="17"/>
  <c r="M140" i="17"/>
  <c r="M139" i="17"/>
  <c r="M138" i="17"/>
  <c r="M137" i="17"/>
  <c r="M136" i="17"/>
  <c r="M135" i="17"/>
  <c r="M134" i="17"/>
  <c r="M133" i="17"/>
  <c r="M132" i="17"/>
  <c r="M131" i="17"/>
  <c r="M130" i="17"/>
  <c r="M129" i="17"/>
  <c r="M128" i="17"/>
  <c r="M127" i="17"/>
  <c r="M126" i="17"/>
  <c r="M125" i="17"/>
  <c r="M124" i="17"/>
  <c r="M123" i="17"/>
  <c r="M122" i="17"/>
  <c r="M121" i="17"/>
  <c r="M120" i="17"/>
  <c r="M119" i="17"/>
  <c r="M118" i="17"/>
  <c r="M117" i="17"/>
  <c r="M116" i="17"/>
  <c r="M115" i="17"/>
  <c r="M114" i="17"/>
  <c r="M113" i="17"/>
  <c r="M112" i="17"/>
  <c r="M111" i="17"/>
  <c r="M110" i="17"/>
  <c r="M109" i="17"/>
  <c r="M108" i="17"/>
  <c r="M107" i="17"/>
  <c r="M106" i="17"/>
  <c r="M105" i="17"/>
  <c r="M104" i="17"/>
  <c r="M103" i="17"/>
  <c r="M102" i="17"/>
  <c r="M101" i="17"/>
  <c r="M100" i="17"/>
  <c r="M99" i="17"/>
  <c r="M98" i="17"/>
  <c r="M97" i="17"/>
  <c r="M96" i="17"/>
  <c r="M95" i="17"/>
  <c r="M94" i="17"/>
  <c r="M93" i="17"/>
  <c r="M92" i="17"/>
  <c r="M91" i="17"/>
  <c r="M90" i="17"/>
  <c r="M89" i="17"/>
  <c r="M88" i="17"/>
  <c r="M87" i="17"/>
  <c r="M86" i="17"/>
  <c r="M85" i="17"/>
  <c r="M84" i="17"/>
  <c r="M83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M23" i="17"/>
  <c r="M22" i="17"/>
  <c r="M21" i="17"/>
  <c r="M20" i="17"/>
  <c r="M19" i="17"/>
  <c r="M18" i="17"/>
  <c r="M17" i="17"/>
  <c r="M16" i="17"/>
  <c r="M15" i="17"/>
  <c r="M14" i="17"/>
  <c r="M13" i="17"/>
  <c r="M12" i="17"/>
  <c r="M11" i="17"/>
  <c r="M10" i="17"/>
  <c r="M9" i="17"/>
  <c r="M8" i="17"/>
  <c r="M7" i="17"/>
  <c r="M6" i="17"/>
  <c r="M5" i="17"/>
  <c r="M4" i="17"/>
  <c r="M3" i="17"/>
  <c r="M2" i="17"/>
  <c r="M234" i="10"/>
  <c r="M233" i="10"/>
  <c r="M232" i="10"/>
  <c r="M231" i="10"/>
  <c r="M230" i="10"/>
  <c r="M229" i="10"/>
  <c r="M228" i="10"/>
  <c r="M227" i="10"/>
  <c r="M226" i="10"/>
  <c r="M225" i="10"/>
  <c r="M224" i="10"/>
  <c r="M223" i="10"/>
  <c r="M222" i="10"/>
  <c r="M221" i="10"/>
  <c r="M220" i="10"/>
  <c r="M219" i="10"/>
  <c r="M218" i="10"/>
  <c r="M217" i="10"/>
  <c r="M216" i="10"/>
  <c r="M215" i="10"/>
  <c r="M214" i="10"/>
  <c r="M213" i="10"/>
  <c r="M212" i="10"/>
  <c r="M211" i="10"/>
  <c r="M210" i="10"/>
  <c r="M209" i="10"/>
  <c r="M208" i="10"/>
  <c r="M207" i="10"/>
  <c r="M206" i="10"/>
  <c r="M205" i="10"/>
  <c r="M204" i="10"/>
  <c r="M203" i="10"/>
  <c r="M202" i="10"/>
  <c r="M201" i="10"/>
  <c r="M200" i="10"/>
  <c r="M199" i="10"/>
  <c r="M198" i="10"/>
  <c r="M197" i="10"/>
  <c r="M196" i="10"/>
  <c r="M195" i="10"/>
  <c r="M194" i="10"/>
  <c r="M193" i="10"/>
  <c r="M192" i="10"/>
  <c r="M191" i="10"/>
  <c r="M190" i="10"/>
  <c r="M189" i="10"/>
  <c r="M188" i="10"/>
  <c r="M187" i="10"/>
  <c r="M186" i="10"/>
  <c r="M185" i="10"/>
  <c r="M184" i="10"/>
  <c r="M183" i="10"/>
  <c r="M182" i="10"/>
  <c r="M181" i="10"/>
  <c r="M180" i="10"/>
  <c r="M179" i="10"/>
  <c r="M178" i="10"/>
  <c r="M177" i="10"/>
  <c r="M176" i="10"/>
  <c r="M175" i="10"/>
  <c r="M174" i="10"/>
  <c r="M173" i="10"/>
  <c r="M172" i="10"/>
  <c r="M171" i="10"/>
  <c r="M170" i="10"/>
  <c r="M169" i="10"/>
  <c r="M168" i="10"/>
  <c r="M167" i="10"/>
  <c r="M166" i="10"/>
  <c r="M165" i="10"/>
  <c r="M164" i="10"/>
  <c r="M163" i="10"/>
  <c r="M162" i="10"/>
  <c r="M161" i="10"/>
  <c r="M160" i="10"/>
  <c r="M159" i="10"/>
  <c r="M158" i="10"/>
  <c r="M157" i="10"/>
  <c r="M156" i="10"/>
  <c r="M155" i="10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M8" i="10"/>
  <c r="M7" i="10"/>
  <c r="M6" i="10"/>
  <c r="M5" i="10"/>
  <c r="M4" i="10"/>
  <c r="M3" i="10"/>
  <c r="M2" i="10"/>
  <c r="M249" i="9"/>
  <c r="M248" i="9"/>
  <c r="M247" i="9"/>
  <c r="M246" i="9"/>
  <c r="M245" i="9"/>
  <c r="M244" i="9"/>
  <c r="M243" i="9"/>
  <c r="M242" i="9"/>
  <c r="M241" i="9"/>
  <c r="M240" i="9"/>
  <c r="M239" i="9"/>
  <c r="M238" i="9"/>
  <c r="M237" i="9"/>
  <c r="M236" i="9"/>
  <c r="M235" i="9"/>
  <c r="M234" i="9"/>
  <c r="M233" i="9"/>
  <c r="M232" i="9"/>
  <c r="M231" i="9"/>
  <c r="M230" i="9"/>
  <c r="M229" i="9"/>
  <c r="M228" i="9"/>
  <c r="M227" i="9"/>
  <c r="M226" i="9"/>
  <c r="M225" i="9"/>
  <c r="M224" i="9"/>
  <c r="M223" i="9"/>
  <c r="M222" i="9"/>
  <c r="M221" i="9"/>
  <c r="M220" i="9"/>
  <c r="M219" i="9"/>
  <c r="M218" i="9"/>
  <c r="M217" i="9"/>
  <c r="M216" i="9"/>
  <c r="M215" i="9"/>
  <c r="M214" i="9"/>
  <c r="M213" i="9"/>
  <c r="M212" i="9"/>
  <c r="M211" i="9"/>
  <c r="M210" i="9"/>
  <c r="M209" i="9"/>
  <c r="M208" i="9"/>
  <c r="M207" i="9"/>
  <c r="M206" i="9"/>
  <c r="M205" i="9"/>
  <c r="M204" i="9"/>
  <c r="M203" i="9"/>
  <c r="M202" i="9"/>
  <c r="M201" i="9"/>
  <c r="M200" i="9"/>
  <c r="M199" i="9"/>
  <c r="M198" i="9"/>
  <c r="M197" i="9"/>
  <c r="M196" i="9"/>
  <c r="M195" i="9"/>
  <c r="M194" i="9"/>
  <c r="M193" i="9"/>
  <c r="M192" i="9"/>
  <c r="M191" i="9"/>
  <c r="M190" i="9"/>
  <c r="M189" i="9"/>
  <c r="M188" i="9"/>
  <c r="M187" i="9"/>
  <c r="M186" i="9"/>
  <c r="M185" i="9"/>
  <c r="M184" i="9"/>
  <c r="M183" i="9"/>
  <c r="M182" i="9"/>
  <c r="M181" i="9"/>
  <c r="M180" i="9"/>
  <c r="M179" i="9"/>
  <c r="M178" i="9"/>
  <c r="M177" i="9"/>
  <c r="M176" i="9"/>
  <c r="M175" i="9"/>
  <c r="M174" i="9"/>
  <c r="M173" i="9"/>
  <c r="M172" i="9"/>
  <c r="M171" i="9"/>
  <c r="M170" i="9"/>
  <c r="M169" i="9"/>
  <c r="M168" i="9"/>
  <c r="M167" i="9"/>
  <c r="M166" i="9"/>
  <c r="M165" i="9"/>
  <c r="M164" i="9"/>
  <c r="M163" i="9"/>
  <c r="M162" i="9"/>
  <c r="M161" i="9"/>
  <c r="M160" i="9"/>
  <c r="M159" i="9"/>
  <c r="M158" i="9"/>
  <c r="M157" i="9"/>
  <c r="M156" i="9"/>
  <c r="M155" i="9"/>
  <c r="M154" i="9"/>
  <c r="M153" i="9"/>
  <c r="M152" i="9"/>
  <c r="M151" i="9"/>
  <c r="M150" i="9"/>
  <c r="M149" i="9"/>
  <c r="M148" i="9"/>
  <c r="M147" i="9"/>
  <c r="M146" i="9"/>
  <c r="M145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2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M7" i="9"/>
  <c r="M6" i="9"/>
  <c r="M5" i="9"/>
  <c r="M4" i="9"/>
  <c r="M3" i="9"/>
  <c r="M2" i="9"/>
</calcChain>
</file>

<file path=xl/sharedStrings.xml><?xml version="1.0" encoding="utf-8"?>
<sst xmlns="http://schemas.openxmlformats.org/spreadsheetml/2006/main" count="13899" uniqueCount="4402">
  <si>
    <t>Trixxi Juniors Lace-Yoke Shift Dress Navy XXS</t>
  </si>
  <si>
    <t>26M2620J2I</t>
  </si>
  <si>
    <t>713701112568</t>
  </si>
  <si>
    <t>Material Girl Juniors Lace-Detail Pencil Sk Black Combo L</t>
  </si>
  <si>
    <t>713701095779</t>
  </si>
  <si>
    <t>American Rag Printed Waffle-Knit Lace-Trim Zinfandel Combo L</t>
  </si>
  <si>
    <t>888825936458</t>
  </si>
  <si>
    <t>Material Girl Lace-Trim Cold-Shoulder Plaid Black M</t>
  </si>
  <si>
    <t>60051MG</t>
  </si>
  <si>
    <t>887866237821</t>
  </si>
  <si>
    <t>BCX Cuffed Boyfriend Blazer Navy M</t>
  </si>
  <si>
    <t>4068Y4M</t>
  </si>
  <si>
    <t>889775090771</t>
  </si>
  <si>
    <t>American Rag Ponte Zipper Leggings Charcoal L</t>
  </si>
  <si>
    <t>888825754717</t>
  </si>
  <si>
    <t>Material Girl Juniors Printed Cutout Peplum Egret Combo S</t>
  </si>
  <si>
    <t>887043501219</t>
  </si>
  <si>
    <t>Celebrity Pink Juniors Medium Wash Skinny Je Tuscany 13</t>
  </si>
  <si>
    <t>CJ21046SS</t>
  </si>
  <si>
    <t>887043645432</t>
  </si>
  <si>
    <t>Celebrity Pink Trendy Plus Size Colored Wash Botanical Garden 18W</t>
  </si>
  <si>
    <t>889456079262</t>
  </si>
  <si>
    <t>Rampage Juniors Nikki Medium Wash Sup Gary Wash 15</t>
  </si>
  <si>
    <t>888825304011</t>
  </si>
  <si>
    <t>Tinseltown Juniors High-Waist Skinny Jea Blue 9</t>
  </si>
  <si>
    <t>MYB015138</t>
  </si>
  <si>
    <t>822240808518</t>
  </si>
  <si>
    <t>BCX Juniors Printed Tiered Tank T Citron L</t>
  </si>
  <si>
    <t>1096F20</t>
  </si>
  <si>
    <t>713701108592</t>
  </si>
  <si>
    <t>American Rag Juniors Lace Contrast Henley Egret XS</t>
  </si>
  <si>
    <t>713701108578</t>
  </si>
  <si>
    <t>American Rag Juniors Lace Contrast Henley Zinfandel XXL</t>
  </si>
  <si>
    <t>713701108493</t>
  </si>
  <si>
    <t>American Rag Juniors Lace Contrast Henley Dusty Olive XL</t>
  </si>
  <si>
    <t>841907122750</t>
  </si>
  <si>
    <t>Indigo Rein Juniors Reverse-Selvedge Dark Medium Blue 11</t>
  </si>
  <si>
    <t>826409585029</t>
  </si>
  <si>
    <t>BCX Juniors Faux-Leather-Pocket C Taupe XL</t>
  </si>
  <si>
    <t>826410123869</t>
  </si>
  <si>
    <t>BCX Juniors Lace-Trim Tie-Front B White L</t>
  </si>
  <si>
    <t>826409939525</t>
  </si>
  <si>
    <t>BCX Juniors Printed Cold-Shoulder Zig Zag Multi S</t>
  </si>
  <si>
    <t>1006T2X</t>
  </si>
  <si>
    <t>887043417831</t>
  </si>
  <si>
    <t>Celebrity Pink Juniors Super-Soft Skinny Jea Never Say Never 11</t>
  </si>
  <si>
    <t>791093338322</t>
  </si>
  <si>
    <t>Trolls by DreamWorks Juniors Cold-Shoulder Graphic Black S</t>
  </si>
  <si>
    <t>888825991877</t>
  </si>
  <si>
    <t>Tinseltown Juniors Moto Burgundy Wash Sk Grey Plaid 1</t>
  </si>
  <si>
    <t>826410480641</t>
  </si>
  <si>
    <t>BCX Juniors Cold-Shoulder Necklac Black L</t>
  </si>
  <si>
    <t>826410411928</t>
  </si>
  <si>
    <t>BCX Juniors Embellished Asymmetri Champagne XXS</t>
  </si>
  <si>
    <t>1005Y79</t>
  </si>
  <si>
    <t>637677168766</t>
  </si>
  <si>
    <t>Self Esteem Juniors Draped Open-Front Car Chili Pepper Combo XL</t>
  </si>
  <si>
    <t>614015986060</t>
  </si>
  <si>
    <t>Rewash Juniors Printed Smocked-Waist Blue Floral XS</t>
  </si>
  <si>
    <t>614015968240</t>
  </si>
  <si>
    <t>Rewash Juniors Pull-On Jeggings Black 13</t>
  </si>
  <si>
    <t>889775072630</t>
  </si>
  <si>
    <t>American Rag Striped Lace-Trim Top Zinfandel XL</t>
  </si>
  <si>
    <t>889602111525</t>
  </si>
  <si>
    <t>Jessica Simpson Foil-Printed Half-Zip Hoodie Light Heather Grey XS</t>
  </si>
  <si>
    <t>746194691456</t>
  </si>
  <si>
    <t>Material Girl Juniors Cap-Sleeve Bodysuit Zinfandel M</t>
  </si>
  <si>
    <t>889602104923</t>
  </si>
  <si>
    <t>Jessica Simpson Printed T-Strap Sports Bra Cozy Night S</t>
  </si>
  <si>
    <t>695532480835</t>
  </si>
  <si>
    <t>Ultra Flirt Juniors Sleeveless Mock-Neck Olive M</t>
  </si>
  <si>
    <t>841413124811</t>
  </si>
  <si>
    <t>OhMG Juniors Love Sequin Marled Sw Charcoal Grey L</t>
  </si>
  <si>
    <t>887648645356</t>
  </si>
  <si>
    <t>Freeze 24-7 Juniors Mickey Mouse Patch Gr Red M</t>
  </si>
  <si>
    <t>705143716909</t>
  </si>
  <si>
    <t>Energie Juniors Poppy Cropped Pull-On Heather Grey M</t>
  </si>
  <si>
    <t>706256923734</t>
  </si>
  <si>
    <t>Material Girl Active Juniors Lace-Waist Yog Fuschia M</t>
  </si>
  <si>
    <t>887069474894</t>
  </si>
  <si>
    <t>Pink Rose Juniors Striped Rib-Knit Fine Bandana BlueBrandy WineMusta XL</t>
  </si>
  <si>
    <t>887069474887</t>
  </si>
  <si>
    <t>Pink Rose Juniors Striped Rib-Knit Fine Bandana BlueBrandy WineMusta L</t>
  </si>
  <si>
    <t>632421496638</t>
  </si>
  <si>
    <t>Love Squared Plus Size Asymmetrical Faux-Wr Black 2X</t>
  </si>
  <si>
    <t>841060125100</t>
  </si>
  <si>
    <t>Hippie Rose Juniors Dolman-Sleeve Graphic Medium Heather Grey XL</t>
  </si>
  <si>
    <t>655998466187</t>
  </si>
  <si>
    <t>Material Girl Juniors Sports Bra, Only at M Space Dye XS</t>
  </si>
  <si>
    <t>M6330MS</t>
  </si>
  <si>
    <t>190371272387</t>
  </si>
  <si>
    <t>Bioworld Juniors Harry Potter Hogwarts Heather Grey S</t>
  </si>
  <si>
    <t>645545946231</t>
  </si>
  <si>
    <t>Rebellious One Juniors Asymmetrical-Hem Pock Malbec S</t>
  </si>
  <si>
    <t>645545934788</t>
  </si>
  <si>
    <t>Material Girl Juniors Strappy Graphic Tank Black S</t>
  </si>
  <si>
    <t>695532486950</t>
  </si>
  <si>
    <t>Ultra Flirt Juniors Waffle-Knit Stripe-Sl GardeniaHeather Peacoat XS</t>
  </si>
  <si>
    <t>695532487285</t>
  </si>
  <si>
    <t>Ultra Flirt Juniors Scoop-Back Pullover T Peacoa Blue L</t>
  </si>
  <si>
    <t>695532487261</t>
  </si>
  <si>
    <t>Ultra Flirt Juniors Scoop-Back Pullover T Peacoa Blue S</t>
  </si>
  <si>
    <t>190344267037</t>
  </si>
  <si>
    <t>Hybrid Juniors Graphic Raglan T-Shir WhiteNavy XL</t>
  </si>
  <si>
    <t>821942424545</t>
  </si>
  <si>
    <t>Planet Gold Juniors Cold-Shoulder Shift D Evening Blue S</t>
  </si>
  <si>
    <t>693401668155</t>
  </si>
  <si>
    <t>2-Kuhl Juniors Cuffed-Sleeve Sunset Light Grey XL</t>
  </si>
  <si>
    <t>645545935020</t>
  </si>
  <si>
    <t>Material Girl Juniors Printed Low-Impact Sp Multi Space Dye S</t>
  </si>
  <si>
    <t>M61222</t>
  </si>
  <si>
    <t>190371313325</t>
  </si>
  <si>
    <t>Bioworld Juniors Fantastic Beasts MACU Black M</t>
  </si>
  <si>
    <t>190371313479</t>
  </si>
  <si>
    <t>Bioworld Fantastic Beasts Juniors Newt White M</t>
  </si>
  <si>
    <t>705143602745</t>
  </si>
  <si>
    <t>Energie Juniors Scoop-Neck Top Antique White S</t>
  </si>
  <si>
    <t>821942425214</t>
  </si>
  <si>
    <t>Planet Gold Juniors Rib-Knit Cold-Shoulde Navy XL</t>
  </si>
  <si>
    <t>821942425146</t>
  </si>
  <si>
    <t>Planet Gold Juniors Rib-Knit Cold-Shoulde Egret M</t>
  </si>
  <si>
    <t>821942334677</t>
  </si>
  <si>
    <t>Planet Gold Juniors Sleeveless Racerback Emerald Stone XL</t>
  </si>
  <si>
    <t>821942362311</t>
  </si>
  <si>
    <t>Planet Gold Juniors Spaghetti-Strap Tank Jalapeno Red S</t>
  </si>
  <si>
    <t>821942334684</t>
  </si>
  <si>
    <t>Planet Gold Juniors Sleeveless Racerback Emerald Stone XS</t>
  </si>
  <si>
    <t>821942334653</t>
  </si>
  <si>
    <t>Planet Gold Juniors Sleeveless Racerback Emerald Stone M</t>
  </si>
  <si>
    <t>821942334660</t>
  </si>
  <si>
    <t>Planet Gold Juniors Sleeveless Racerback Emerald Stone S</t>
  </si>
  <si>
    <t>821942334646</t>
  </si>
  <si>
    <t>Planet Gold Juniors Sleeveless Racerback Emerald Stone L</t>
  </si>
  <si>
    <t>637865189481</t>
  </si>
  <si>
    <t>Calvin Klein Jeans Denim Belted Shirt Dress Emily Mid Rinse XL</t>
  </si>
  <si>
    <t>637865169209</t>
  </si>
  <si>
    <t>Calvin Klein Jeans Cement Wash Ankle Skinny Jeans Cement Wash 28</t>
  </si>
  <si>
    <t>708008367926</t>
  </si>
  <si>
    <t>City Studios Juniors Sequin Lace Party Dre Gold 7</t>
  </si>
  <si>
    <t>713701109933</t>
  </si>
  <si>
    <t>American Rag Off-The-Shoulder Floral Fit Floral Combo S</t>
  </si>
  <si>
    <t>34004AR</t>
  </si>
  <si>
    <t>889775094045</t>
  </si>
  <si>
    <t>American Rag Off-The-Shoulder Pointelle Swe Chili Pepper S</t>
  </si>
  <si>
    <t>887840190074</t>
  </si>
  <si>
    <t>Emerald Sundae Juniors Glitter Lace Off-the- Black XXS</t>
  </si>
  <si>
    <t>886680014199</t>
  </si>
  <si>
    <t>Material Girl Juniors Tuxedo Sheath Dress Black XXS</t>
  </si>
  <si>
    <t>886680026109</t>
  </si>
  <si>
    <t>822982634222</t>
  </si>
  <si>
    <t>Jessica Simpson Avenia Cuffed Straight-Leg Pan Navy 29</t>
  </si>
  <si>
    <t>822982634215</t>
  </si>
  <si>
    <t>Jessica Simpson Avenia Cuffed Straight-Leg Pan Navy 28</t>
  </si>
  <si>
    <t>889631053964</t>
  </si>
  <si>
    <t>Crystal Doll Juniors Illusion Bodycon Dres BlackNude 13</t>
  </si>
  <si>
    <t>652874831138</t>
  </si>
  <si>
    <t>Speechless Juniors Ruffled Fit Flare D Royal Blue XXS</t>
  </si>
  <si>
    <t>826422067120</t>
  </si>
  <si>
    <t>BCX Juniors Floral-Print Bomber J Floral Print L</t>
  </si>
  <si>
    <t>887863087177</t>
  </si>
  <si>
    <t>829092317519</t>
  </si>
  <si>
    <t>XOXO Juniors Printed Off-the-Shoul Multi S</t>
  </si>
  <si>
    <t>886680006071</t>
  </si>
  <si>
    <t>Material Girl Juniors Metallic Rib-Knit Lat Silver Combo XL</t>
  </si>
  <si>
    <t>768594155680</t>
  </si>
  <si>
    <t>889775094496</t>
  </si>
  <si>
    <t>American Rag Crocheted Crop Top Oatmeal Combo XL</t>
  </si>
  <si>
    <t>889775094373</t>
  </si>
  <si>
    <t>889775113159</t>
  </si>
  <si>
    <t>713701112261</t>
  </si>
  <si>
    <t>American Rag Smocked Bell-Sleeve Peasant To Egret S</t>
  </si>
  <si>
    <t>12872AR</t>
  </si>
  <si>
    <t>889775093383</t>
  </si>
  <si>
    <t>889775090498</t>
  </si>
  <si>
    <t>768594176586</t>
  </si>
  <si>
    <t>889456078708</t>
  </si>
  <si>
    <t>Rampage Juniors Paint-Splattered Skin Harrison Wash 1</t>
  </si>
  <si>
    <t>889456082842</t>
  </si>
  <si>
    <t>CABR SOPHIE 24" EMB</t>
  </si>
  <si>
    <t>RJ12002</t>
  </si>
  <si>
    <t>784645462934</t>
  </si>
  <si>
    <t>REWIND Juniors Techno Tuck Light Blu Light Blue 11</t>
  </si>
  <si>
    <t>RP2190Q4KV</t>
  </si>
  <si>
    <t>826410695298</t>
  </si>
  <si>
    <t>BCX Juniors Printed Cold-Shoulder Flower Print XXS</t>
  </si>
  <si>
    <t>826410602654</t>
  </si>
  <si>
    <t>BCX Juniors Cowl-Neck Top Black S</t>
  </si>
  <si>
    <t>826410694802</t>
  </si>
  <si>
    <t>BCX Juniors Printed Skater Skirt Pink 15</t>
  </si>
  <si>
    <t>826410111118</t>
  </si>
  <si>
    <t>826410998917</t>
  </si>
  <si>
    <t>BCX Juniors Off-The-Shoulder Cris BlackBluePink L</t>
  </si>
  <si>
    <t>826410610291</t>
  </si>
  <si>
    <t>614015985438</t>
  </si>
  <si>
    <t>Rewash Juniors Printed Ruched Croppe Natural XS</t>
  </si>
  <si>
    <t>889775110226</t>
  </si>
  <si>
    <t>614015042261</t>
  </si>
  <si>
    <t>Rewash Juniors Tacked-Hem Embroidere Dark Blue 7</t>
  </si>
  <si>
    <t>J14142AG2</t>
  </si>
  <si>
    <t>826410809466</t>
  </si>
  <si>
    <t>BCX Juniors Bell-Sleeve Blouse Off White L</t>
  </si>
  <si>
    <t>889602128851</t>
  </si>
  <si>
    <t>Freshman Juniors Sleeveless Cowl-Neck Mittens XL</t>
  </si>
  <si>
    <t>889602128752</t>
  </si>
  <si>
    <t>Freshman Juniors Sleeveless Cowl-Neck Honeysuckle Sun XL</t>
  </si>
  <si>
    <t>889602128714</t>
  </si>
  <si>
    <t>Freshman Juniors Sleeveless Cowl-Neck Honeysuckle Sun XS</t>
  </si>
  <si>
    <t>841060123922</t>
  </si>
  <si>
    <t>Hippie Rose Juniors Cargo Joggers Olive Branch S</t>
  </si>
  <si>
    <t>841060127173</t>
  </si>
  <si>
    <t>Hippie Rose Juniors Velour Flare-Leg Pant Moonstone L</t>
  </si>
  <si>
    <t>841060127203</t>
  </si>
  <si>
    <t>Hippie Rose Juniors Velour Jogger Pants Medium Heather Grey S</t>
  </si>
  <si>
    <t>841060127081</t>
  </si>
  <si>
    <t>Hippie Rose Juniors Zip-Front Velour Hood Tapestry Blue XL</t>
  </si>
  <si>
    <t>841060127234</t>
  </si>
  <si>
    <t>Hippie Rose Juniors Velour Jogger Pants Medium Heather Grey XL</t>
  </si>
  <si>
    <t>841060127135</t>
  </si>
  <si>
    <t>Hippie Rose Juniors Velour Flare-Leg Pant Black XL</t>
  </si>
  <si>
    <t>841060127074</t>
  </si>
  <si>
    <t>Hippie Rose Juniors Zip-Front Velour Hood Tapestry Blue L</t>
  </si>
  <si>
    <t>706256570518</t>
  </si>
  <si>
    <t>706256917634</t>
  </si>
  <si>
    <t>706257020234</t>
  </si>
  <si>
    <t>887069475266</t>
  </si>
  <si>
    <t>Pink Rose Juniors Ruched-Side Fine-Gaug Heather Aubergine S</t>
  </si>
  <si>
    <t>190344631104</t>
  </si>
  <si>
    <t>Disney Juniors Disney Mickey Mouse G Heather Grey L</t>
  </si>
  <si>
    <t>190344450545</t>
  </si>
  <si>
    <t>Hybrid Juniors Peanuts Snoopy Woodst Charcoal XS</t>
  </si>
  <si>
    <t>706256917795</t>
  </si>
  <si>
    <t>645545931589</t>
  </si>
  <si>
    <t>705143716299</t>
  </si>
  <si>
    <t>Energie Juniors Abby Crisscross Low-I Caviar L</t>
  </si>
  <si>
    <t>48x40x46</t>
  </si>
  <si>
    <t>Pallets</t>
  </si>
  <si>
    <t>Units</t>
  </si>
  <si>
    <t>Cartons</t>
  </si>
  <si>
    <t>Pallet Size</t>
  </si>
  <si>
    <t>Retail</t>
  </si>
  <si>
    <t>Ext. Retail</t>
  </si>
  <si>
    <t>Style #</t>
  </si>
  <si>
    <t>Color</t>
  </si>
  <si>
    <t>Size</t>
  </si>
  <si>
    <t>Department</t>
  </si>
  <si>
    <t>Vendor</t>
  </si>
  <si>
    <t>Image</t>
  </si>
  <si>
    <t>Cost</t>
  </si>
  <si>
    <t>Ext. Cost</t>
  </si>
  <si>
    <t>Description</t>
  </si>
  <si>
    <t>Macys</t>
  </si>
  <si>
    <t>AMZ</t>
  </si>
  <si>
    <t>48x40x48</t>
  </si>
  <si>
    <t>Men's, Women's, Children's</t>
  </si>
  <si>
    <t>Juniors</t>
  </si>
  <si>
    <t>8489TPR3</t>
  </si>
  <si>
    <t>713701105652</t>
  </si>
  <si>
    <t>Material Girl Juniors Zipper-Trim Faux-Leat Caviar Black XL</t>
  </si>
  <si>
    <t>888825937714</t>
  </si>
  <si>
    <t>Material Girl Juniors Asymmetrical Pinstrip Black M</t>
  </si>
  <si>
    <t>889775089720</t>
  </si>
  <si>
    <t>American Rag Ripped Ojai Wash Denim Shorts Ojai Wash 15</t>
  </si>
  <si>
    <t>844817077394</t>
  </si>
  <si>
    <t>American Rag Eyelet Crop Top Egret L</t>
  </si>
  <si>
    <t>4MW73EG</t>
  </si>
  <si>
    <t>826409268526</t>
  </si>
  <si>
    <t>BCX Juniors Belted Front-Zip A-Li Turquoise XS</t>
  </si>
  <si>
    <t>1125A60</t>
  </si>
  <si>
    <t>617171309070</t>
  </si>
  <si>
    <t>ING Trendy Plus Size Cutout-Should Charcoal 2X</t>
  </si>
  <si>
    <t>768594098550</t>
  </si>
  <si>
    <t>American Rag Lace Handkerchief-Hem Cami Top Light Pink M</t>
  </si>
  <si>
    <t>829092246338</t>
  </si>
  <si>
    <t>XOXO Juniors Mock-Neck Grommet Top Hunter L</t>
  </si>
  <si>
    <t>759880883370</t>
  </si>
  <si>
    <t>REWIND Juniors Skinny Cargo Pants Camo 9</t>
  </si>
  <si>
    <t>759880883356</t>
  </si>
  <si>
    <t>REWIND Juniors Skinny Cargo Pants Camo 5</t>
  </si>
  <si>
    <t>885779641292</t>
  </si>
  <si>
    <t>Vanilla Star Juniors Ripped Skinny Jeans White Wash 1</t>
  </si>
  <si>
    <t>V20653-1</t>
  </si>
  <si>
    <t>840523144160</t>
  </si>
  <si>
    <t>Indigo Rein Juniors Button-Front Super-So Dark 15</t>
  </si>
  <si>
    <t>RR5170C8MZ</t>
  </si>
  <si>
    <t>826409973871</t>
  </si>
  <si>
    <t>BCX Juniors Marled Layered-Look T Black Tweed L</t>
  </si>
  <si>
    <t>1076T36</t>
  </si>
  <si>
    <t>674153662318</t>
  </si>
  <si>
    <t>Say What Juniors Bomber Jacket Black S</t>
  </si>
  <si>
    <t>826409857782</t>
  </si>
  <si>
    <t>BCX Juniors Striped Roll-Sleeve B Black Sand Geo M</t>
  </si>
  <si>
    <t>1069V8T</t>
  </si>
  <si>
    <t>645545933576</t>
  </si>
  <si>
    <t>Material Girl Juniors Mesh Zip-Up Hoodie Black XS</t>
  </si>
  <si>
    <t>840523199146</t>
  </si>
  <si>
    <t>Indigo Rein Juniors Light Blue Wash Cropp Light Blue 9</t>
  </si>
  <si>
    <t>887043160904</t>
  </si>
  <si>
    <t>Celebrity Pink Juniors Skinny-Leg Jeans, Dark Indigo Rinse 0S</t>
  </si>
  <si>
    <t>CJ5820F55 S</t>
  </si>
  <si>
    <t>0 S</t>
  </si>
  <si>
    <t>887043014191</t>
  </si>
  <si>
    <t>Celebrity Pink Jeans, Skinny Low Rise Pinot Noir 7</t>
  </si>
  <si>
    <t>CJ5820F57</t>
  </si>
  <si>
    <t>841413124699</t>
  </si>
  <si>
    <t>OhMG Juniors Drape-Collar Aztec-Pa OatmealToasted Heather S</t>
  </si>
  <si>
    <t>889602128615</t>
  </si>
  <si>
    <t>Jessica Simpson Juniors Pullover Hoodie Jet Black S</t>
  </si>
  <si>
    <t>889602128554</t>
  </si>
  <si>
    <t>Jessica Simpson Juniors Pullover Hoodie Italian Plum M</t>
  </si>
  <si>
    <t>889602111495</t>
  </si>
  <si>
    <t>Jessica Simpson Foil-Printed Half-Zip Hoodie Jet Black L</t>
  </si>
  <si>
    <t>889602128608</t>
  </si>
  <si>
    <t>Jessica Simpson Juniors Pullover Hoodie Jet Black XS</t>
  </si>
  <si>
    <t>695532440303</t>
  </si>
  <si>
    <t>Ultra Flirt Juniors Striped Mitered-Hem T BurgundyGold XS</t>
  </si>
  <si>
    <t>889901118058</t>
  </si>
  <si>
    <t>Hooked Up by IOT Juniors Fringed Mixed-Pattern Mood IndigoRuby Wine XS</t>
  </si>
  <si>
    <t>695532440181</t>
  </si>
  <si>
    <t>Ultra Flirt Juniors Striped Mitered-Hem T WineBlue L</t>
  </si>
  <si>
    <t>746194691449</t>
  </si>
  <si>
    <t>Material Girl Juniors Cap-Sleeve Bodysuit Zinfandel S</t>
  </si>
  <si>
    <t>746194691463</t>
  </si>
  <si>
    <t>Material Girl Juniors Cap-Sleeve Bodysuit Zinfandel L</t>
  </si>
  <si>
    <t>889602111730</t>
  </si>
  <si>
    <t>Jessica Simpson Logo Foil Graphic Jogger Pants Black Combo L</t>
  </si>
  <si>
    <t>826409511332</t>
  </si>
  <si>
    <t>BCX Juniors Faux-Leather-Trim Pen Black 7</t>
  </si>
  <si>
    <t>4058R9F</t>
  </si>
  <si>
    <t>887409057572</t>
  </si>
  <si>
    <t>Polly Esther Juniors Hooded Plaid Shirt BrickNavy L</t>
  </si>
  <si>
    <t>887409057701</t>
  </si>
  <si>
    <t>Polly Esther Juniors Hooded Plaid Shirt NavyIvory XL</t>
  </si>
  <si>
    <t>889602097997</t>
  </si>
  <si>
    <t>Jessica Simpson Juniors Short-Sleeve Mesh Top Glowing Ember XL</t>
  </si>
  <si>
    <t>3K31058MC</t>
  </si>
  <si>
    <t>841060119154</t>
  </si>
  <si>
    <t>Hippie Rose Juniors Handkerchief-Hem Card Coyote Blue Combo XL</t>
  </si>
  <si>
    <t>705143716916</t>
  </si>
  <si>
    <t>Energie Juniors Poppy Cropped Pull-On Heather Grey S</t>
  </si>
  <si>
    <t>706256235288</t>
  </si>
  <si>
    <t>Material Girl Contrast-Waist Yoga Pants Black XS</t>
  </si>
  <si>
    <t>M6917BK212</t>
  </si>
  <si>
    <t>706256504841</t>
  </si>
  <si>
    <t>Material Girl Love Contrast Cropped Yoga Leg Black XS</t>
  </si>
  <si>
    <t>M6952NR212</t>
  </si>
  <si>
    <t>706256570624</t>
  </si>
  <si>
    <t>Material Girl Love Mixed-Waist Yoga Leggings Black XS</t>
  </si>
  <si>
    <t>706256235325</t>
  </si>
  <si>
    <t>Material Girl Contrast-Waist Yoga Pants Black XL</t>
  </si>
  <si>
    <t>706256026800</t>
  </si>
  <si>
    <t>Material Girl Juniors Printed Foldover-Wais Limearita M</t>
  </si>
  <si>
    <t>M6824LI212</t>
  </si>
  <si>
    <t>706256026404</t>
  </si>
  <si>
    <t>Material Girl Juniors Ombre-Print Cropped L Sunset XXS</t>
  </si>
  <si>
    <t>695532443243</t>
  </si>
  <si>
    <t>Ultra Flirt Juniors Off-The-Shoulder Peas Prairie Paisley S</t>
  </si>
  <si>
    <t>705143717036</t>
  </si>
  <si>
    <t>Energie Juniors Laser-Cut Sporty Tank Black S</t>
  </si>
  <si>
    <t>619720917101</t>
  </si>
  <si>
    <t>Be Bop Juniors Lace-Trim Velvet Pepl Black S</t>
  </si>
  <si>
    <t>705143716978</t>
  </si>
  <si>
    <t>Energie Juniors Laser-Cut Sporty Tank June Bug S</t>
  </si>
  <si>
    <t>887854009140</t>
  </si>
  <si>
    <t>Miss Chievous Juniors Embellished High-Low Raspberry XS</t>
  </si>
  <si>
    <t>JC3191X154</t>
  </si>
  <si>
    <t>705143713847</t>
  </si>
  <si>
    <t>Energie Active Juniors Fleece Vest an Grey Space DyeCaviar XS</t>
  </si>
  <si>
    <t>887069098595</t>
  </si>
  <si>
    <t>Material Girl Juniors Faux-Leather-Panel Le Black ML</t>
  </si>
  <si>
    <t>PC15704BLK</t>
  </si>
  <si>
    <t>821942396132</t>
  </si>
  <si>
    <t>Planet Gold Juniors Scoop-Neck Fit Flar Black XS</t>
  </si>
  <si>
    <t>888823880982</t>
  </si>
  <si>
    <t>Hybrid Juniors Printed Pullover Swea White M</t>
  </si>
  <si>
    <t>JL3189MAJRSM611</t>
  </si>
  <si>
    <t>190371272370</t>
  </si>
  <si>
    <t>Bioworld Juniors Harry Potter Hogwarts Heather Grey XS</t>
  </si>
  <si>
    <t>887069475334</t>
  </si>
  <si>
    <t>Pink Rose Juniors Ruched-Side Fine-Gaug Heather Beetroot L</t>
  </si>
  <si>
    <t>695532486387</t>
  </si>
  <si>
    <t>Ultra Flirt Juniors Space-Dyed Tie-Neck T Faded DenimBlack Spacedye L</t>
  </si>
  <si>
    <t>695532437457</t>
  </si>
  <si>
    <t>Ultra Flirt Juniors Marled High-Low Pullo BlackWhite M</t>
  </si>
  <si>
    <t>695532453891</t>
  </si>
  <si>
    <t>Ultra Flirt Juniors Striped Lace-Up Shirt WineWhite XL</t>
  </si>
  <si>
    <t>5T50MC</t>
  </si>
  <si>
    <t>190040251149</t>
  </si>
  <si>
    <t>Almost Famous Juniors Lace-Back Button-Down White XL</t>
  </si>
  <si>
    <t>190040251309</t>
  </si>
  <si>
    <t>Almost Famous Juniors Printed High-Low Tank BlackWhiteGrey XS</t>
  </si>
  <si>
    <t>ZT8935-8547-MC</t>
  </si>
  <si>
    <t>887648644694</t>
  </si>
  <si>
    <t>Trolls by DreamWorks Juniors Trolls Printed Leggin Multi L</t>
  </si>
  <si>
    <t>TJSJ057-9J53</t>
  </si>
  <si>
    <t>887648644670</t>
  </si>
  <si>
    <t>Trolls by DreamWorks Juniors Trolls Printed Leggin Multi S</t>
  </si>
  <si>
    <t>190344361995</t>
  </si>
  <si>
    <t>Trolls by DreamWorks Juniors Trolls High-Low Poppy Vintage Black L</t>
  </si>
  <si>
    <t>887409040727</t>
  </si>
  <si>
    <t>Polly Esther Juniors Sleeveless Plaid Lace Ivorynavyred M</t>
  </si>
  <si>
    <t>PK01411MC</t>
  </si>
  <si>
    <t>887411799095</t>
  </si>
  <si>
    <t>Almost Famous Juniors Slub-Knit Sleeveless Denim Blue M</t>
  </si>
  <si>
    <t>ZP8362-6342-MC</t>
  </si>
  <si>
    <t>695532464552</t>
  </si>
  <si>
    <t>Ultra Flirt Juniors Cold-Shoulder Waffle- Burgundy M</t>
  </si>
  <si>
    <t>3C519MC</t>
  </si>
  <si>
    <t>841060118089</t>
  </si>
  <si>
    <t>Hippie Rose Juniors Sleeveless Lace-Up To IvoryBlack Border Combo M</t>
  </si>
  <si>
    <t>841060117570</t>
  </si>
  <si>
    <t>Hippie Rose Juniors Printed Split-Neck Ta Burgundy Combo S</t>
  </si>
  <si>
    <t>H6S0099</t>
  </si>
  <si>
    <t>645545892545</t>
  </si>
  <si>
    <t>M6703BW212</t>
  </si>
  <si>
    <t>716068571122</t>
  </si>
  <si>
    <t>NTD Juniors Graphic T-Shirt BlackWhite L</t>
  </si>
  <si>
    <t>LARGE S/S</t>
  </si>
  <si>
    <t>661414499660</t>
  </si>
  <si>
    <t>Teeze Me Juniors Short-Sleeve Striped BlackOff White L</t>
  </si>
  <si>
    <t>S244149W</t>
  </si>
  <si>
    <t>843561089196</t>
  </si>
  <si>
    <t>Miss Chievous Juniors Embellished Dolman-Sl Lapis L</t>
  </si>
  <si>
    <t>JF9791J185</t>
  </si>
  <si>
    <t>645545909083</t>
  </si>
  <si>
    <t>Rebellious One Juniors Mineral-Wash Football Bedrock Black XL</t>
  </si>
  <si>
    <t>705143715223</t>
  </si>
  <si>
    <t>Energie Juniors Cara Racerback Compre Electric Strawberry XL</t>
  </si>
  <si>
    <t>190344361773</t>
  </si>
  <si>
    <t>Trolls by DreamWorks Juniors Trolls Printed Leggin Blue Multi S</t>
  </si>
  <si>
    <t>JB2538JTRL0081</t>
  </si>
  <si>
    <t>190344361797</t>
  </si>
  <si>
    <t>Trolls by DreamWorks Juniors Trolls Printed Leggin Blue Multi L</t>
  </si>
  <si>
    <t>693401667714</t>
  </si>
  <si>
    <t>2-Kuhl Juniors Cuffed Graphic T-Shir Black XS</t>
  </si>
  <si>
    <t>693401668131</t>
  </si>
  <si>
    <t>2-Kuhl Juniors Cuffed-Sleeve Sunset Light Grey M</t>
  </si>
  <si>
    <t>QE1048YK1765</t>
  </si>
  <si>
    <t>887648567474</t>
  </si>
  <si>
    <t>Freeze 24-7 Juniors Peanuts Graphic Ragla IvoryBurgundy XL</t>
  </si>
  <si>
    <t>645545882775</t>
  </si>
  <si>
    <t>Material Girl Juniors Low-Impact Racerback Heather Platinum S</t>
  </si>
  <si>
    <t>M6504HP212</t>
  </si>
  <si>
    <t>645545883086</t>
  </si>
  <si>
    <t>Material Girl Juniors Low-Impact Racerback Black XS</t>
  </si>
  <si>
    <t>M6501BK212</t>
  </si>
  <si>
    <t>190344312843</t>
  </si>
  <si>
    <t>Hybrid Juniors Pokemon Pikachu Grap White L</t>
  </si>
  <si>
    <t>821942386775</t>
  </si>
  <si>
    <t>Planet Gold Juniors Ruched Dolman-Sleeve Black M</t>
  </si>
  <si>
    <t>821942334363</t>
  </si>
  <si>
    <t>Planet Gold Juniors Spaghetti-Strap Tank Red Wave M</t>
  </si>
  <si>
    <t>39373796357</t>
  </si>
  <si>
    <t>INV PLT SKT W. PKTS</t>
  </si>
  <si>
    <t>12</t>
  </si>
  <si>
    <t>637865168691</t>
  </si>
  <si>
    <t>Calvin Klein Jeans High-Waist Rinse Wash Flare-Le Rinse 27</t>
  </si>
  <si>
    <t>42ZA712</t>
  </si>
  <si>
    <t>661414513311</t>
  </si>
  <si>
    <t>Teeze Me Juniors Glitter Bodycon Scuba GoldBlack M</t>
  </si>
  <si>
    <t>829092395821</t>
  </si>
  <si>
    <t>XOXO Juniors Maxi-Overlay Romper Multi M</t>
  </si>
  <si>
    <t>9815PMA3</t>
  </si>
  <si>
    <t>889775133157</t>
  </si>
  <si>
    <t>American Rag Trendy Plus Size Striped Chamb Eclipse Combo 2X</t>
  </si>
  <si>
    <t>P6BNQ2</t>
  </si>
  <si>
    <t>889775133164</t>
  </si>
  <si>
    <t>American Rag Trendy Plus Size Striped Chamb Eclipse Combo 3X</t>
  </si>
  <si>
    <t>889775134253</t>
  </si>
  <si>
    <t>American Rag Trendy Plus Size Babydoll Peas Eclipse 2X</t>
  </si>
  <si>
    <t>822982621109</t>
  </si>
  <si>
    <t>Jessica Simpson Arielle Embroidered Peasant Sh BlackWhite XS</t>
  </si>
  <si>
    <t>708008367957</t>
  </si>
  <si>
    <t>City Studios Juniors Sequin Lace Party Dre Gold 13</t>
  </si>
  <si>
    <t>708008371572</t>
  </si>
  <si>
    <t>City Studios Juniors Lace-Bodice Contrast BlushBlack 9</t>
  </si>
  <si>
    <t>3255SW3AT3</t>
  </si>
  <si>
    <t>637865188828</t>
  </si>
  <si>
    <t>659337933668</t>
  </si>
  <si>
    <t>Jump Juniors Cap-Sleeve Lace Sheat Royal 78</t>
  </si>
  <si>
    <t>39373646546</t>
  </si>
  <si>
    <t>FLUTTER SLV KEYHOLE TOP</t>
  </si>
  <si>
    <t>39373818592</t>
  </si>
  <si>
    <t>CeCe Cold-Shoulder Peplum Top Poppy L</t>
  </si>
  <si>
    <t>889775096070</t>
  </si>
  <si>
    <t>American Rag Eyelet-Trim Ruffle-Hem Sundres Egret S</t>
  </si>
  <si>
    <t>886998520795</t>
  </si>
  <si>
    <t>American Rag Trendy Plus Size Off-The-Shoul Bleached Denim 0X</t>
  </si>
  <si>
    <t>191170000324</t>
  </si>
  <si>
    <t>Trixxi Juniors Lace Off-The-Shoulder Black M</t>
  </si>
  <si>
    <t>708008369074</t>
  </si>
  <si>
    <t>City Studios Juniors Lace Two-Piece Dress Blue 5</t>
  </si>
  <si>
    <t>191170000294</t>
  </si>
  <si>
    <t>Trixxi Juniors Lace Off-The-Shoulder Black XXS</t>
  </si>
  <si>
    <t>601350859227</t>
  </si>
  <si>
    <t>Speechless Juniors Glittered Lace Dress Blush 5</t>
  </si>
  <si>
    <t>D51063H66</t>
  </si>
  <si>
    <t>822982634550</t>
  </si>
  <si>
    <t>Jessica Simpson Avenia Cuffed Straight-Leg Pan Light Pastel Green 32</t>
  </si>
  <si>
    <t>784645237044</t>
  </si>
  <si>
    <t>Sequin Hearts Juniors Sequin Split-Sleeve S Black S</t>
  </si>
  <si>
    <t>889237626678</t>
  </si>
  <si>
    <t>OLD STRP DRESS W/NECK CR</t>
  </si>
  <si>
    <t>I319279A1</t>
  </si>
  <si>
    <t>829092300740</t>
  </si>
  <si>
    <t>XOXO Juniors Embellished Peplum To Black XXL</t>
  </si>
  <si>
    <t>826422586836</t>
  </si>
  <si>
    <t>889237845307</t>
  </si>
  <si>
    <t>As U Wish Juniors Metallic Dress Silver S</t>
  </si>
  <si>
    <t>I583509G9</t>
  </si>
  <si>
    <t>889602138874</t>
  </si>
  <si>
    <t>Jessica Simpson Juniors Mesh-Inset Track Jack TracerySnow Crystal L</t>
  </si>
  <si>
    <t>889602138850</t>
  </si>
  <si>
    <t>Jessica Simpson Juniors Mesh-Inset Track Jack TracerySnow Crystal S</t>
  </si>
  <si>
    <t>614015985940</t>
  </si>
  <si>
    <t>Rewash Juniors Ripped Dark Blue Wash Dark Blue 0</t>
  </si>
  <si>
    <t>889775090702</t>
  </si>
  <si>
    <t>713701116023</t>
  </si>
  <si>
    <t>American Rag Off-The-Shoulder Crop Top Classic Black XS</t>
  </si>
  <si>
    <t>889775096339</t>
  </si>
  <si>
    <t>614015985889</t>
  </si>
  <si>
    <t>Rewash Juniors Embroidered Colored S NavyTeal 13</t>
  </si>
  <si>
    <t>614015985841</t>
  </si>
  <si>
    <t>Rewash Juniors Embroidered Colored S NavyTeal 5</t>
  </si>
  <si>
    <t>614015986541</t>
  </si>
  <si>
    <t>Rewash Juniors Embroidered Colored S Coral 3</t>
  </si>
  <si>
    <t>889456082194</t>
  </si>
  <si>
    <t>STON SOPHIE MR LNG</t>
  </si>
  <si>
    <t>RJ11132</t>
  </si>
  <si>
    <t>784645228813</t>
  </si>
  <si>
    <t>REWIND Juniors Techno Tuck Blue Wash Indigo 11</t>
  </si>
  <si>
    <t>784645228646</t>
  </si>
  <si>
    <t>REWIND Juniors Techno Tuck Cuffed Sk Blue 0</t>
  </si>
  <si>
    <t>RP2025STFH</t>
  </si>
  <si>
    <t>841907136757</t>
  </si>
  <si>
    <t>Indigo Rein Juniors Ripped Yandle Wash Sk Yandle Wash 0</t>
  </si>
  <si>
    <t>889602138065</t>
  </si>
  <si>
    <t>Jessica Simpson Juniors Tie-Dyed Half-Zip Jac Jet Black Tie Dye M</t>
  </si>
  <si>
    <t>889602138089</t>
  </si>
  <si>
    <t>Jessica Simpson Juniors Tie-Dyed Half-Zip Jac Jet Black Tie Dye XL</t>
  </si>
  <si>
    <t>887043730381</t>
  </si>
  <si>
    <t>Celebrity Pink Juniors Body Sculpt The Lifte Good Vibes 15</t>
  </si>
  <si>
    <t>889602137990</t>
  </si>
  <si>
    <t>Jessica Simpson Juniors Tie-Dyed Half-Zip Jac Blue Tie Dye XS</t>
  </si>
  <si>
    <t>889602138058</t>
  </si>
  <si>
    <t>Jessica Simpson Juniors Tie-Dyed Half-Zip Jac Jet Black Tie Dye S</t>
  </si>
  <si>
    <t>889602138027</t>
  </si>
  <si>
    <t>Jessica Simpson Juniors Tie-Dyed Half-Zip Jac Blue Tie Dye L</t>
  </si>
  <si>
    <t>889602138072</t>
  </si>
  <si>
    <t>Jessica Simpson Juniors Tie-Dyed Half-Zip Jac Jet Black Tie Dye L</t>
  </si>
  <si>
    <t>889602138041</t>
  </si>
  <si>
    <t>Jessica Simpson Juniors Tie-Dyed Half-Zip Jac Jet Black Tie Dye XS</t>
  </si>
  <si>
    <t>889602138034</t>
  </si>
  <si>
    <t>Jessica Simpson Juniors Tie-Dyed Half-Zip Jac Blue Tie Dye XL</t>
  </si>
  <si>
    <t>887400720222</t>
  </si>
  <si>
    <t>Eyeshadow Trendy Plus Size Embroidered T Burgundy Passion 3X</t>
  </si>
  <si>
    <t>614015986336</t>
  </si>
  <si>
    <t>Rewash Juniors Printed Smocked-Waist Navy Stripe XS</t>
  </si>
  <si>
    <t>744199495147</t>
  </si>
  <si>
    <t>Dollhouse Juniors Ripped Colored Wash C Sage 13</t>
  </si>
  <si>
    <t>841060128248</t>
  </si>
  <si>
    <t>Hippie Rose Juniors Open-Front Duster Car Black XS</t>
  </si>
  <si>
    <t>841060128620</t>
  </si>
  <si>
    <t>Hippie Rose Juniors Striped Cardigan Outlaw Turquoise Combo L</t>
  </si>
  <si>
    <t>841060128514</t>
  </si>
  <si>
    <t>Hippie Rose Juniors Striped Cardigan Moonshadow M</t>
  </si>
  <si>
    <t>841060128439</t>
  </si>
  <si>
    <t>Hippie Rose Juniors Open-Front Duster Car Olive XL</t>
  </si>
  <si>
    <t>660032592999</t>
  </si>
  <si>
    <t>One Clothing Juniors Lace Colorblocked Rom IvoryBlack M</t>
  </si>
  <si>
    <t>UR3940-Z394QQ16</t>
  </si>
  <si>
    <t>826410610277</t>
  </si>
  <si>
    <t>WHT SPLT FRT CRCHT YK</t>
  </si>
  <si>
    <t>101727H</t>
  </si>
  <si>
    <t>841060128392</t>
  </si>
  <si>
    <t>Hippie Rose Juniors Open-Front Duster Car Olive XS</t>
  </si>
  <si>
    <t>614015986442</t>
  </si>
  <si>
    <t>Rewash Juniors Printed Ruched Croppe Navy S</t>
  </si>
  <si>
    <t>889602133930</t>
  </si>
  <si>
    <t>Jessica Simpson Juniors Open-Back Compression Jet Black S</t>
  </si>
  <si>
    <t>889602133800</t>
  </si>
  <si>
    <t>Jessica Simpson Juniors Open-Back Compression Tracery L</t>
  </si>
  <si>
    <t>674153663193</t>
  </si>
  <si>
    <t>Say What Juniors Bomber Jacket Black M</t>
  </si>
  <si>
    <t>619720921320</t>
  </si>
  <si>
    <t>Be Bop Juniors Lace Shorts BlackSilver XS</t>
  </si>
  <si>
    <t>841060126800</t>
  </si>
  <si>
    <t>Hippie Rose Juniors Velour Flare-Leg Pant Spicy Sangria S</t>
  </si>
  <si>
    <t>706256570785</t>
  </si>
  <si>
    <t>706256923802</t>
  </si>
  <si>
    <t>Material Girl Juniors Shine-Waistband Yoga Classic Black M</t>
  </si>
  <si>
    <t>706256917610</t>
  </si>
  <si>
    <t>706257020210</t>
  </si>
  <si>
    <t>190040374251</t>
  </si>
  <si>
    <t>Almost Famous Juniors Zip-Up Emoji Patch To Black L</t>
  </si>
  <si>
    <t>190040373711</t>
  </si>
  <si>
    <t>Almost Famous Juniors Emoji Patch Hoodie Grey L</t>
  </si>
  <si>
    <t>190040374640</t>
  </si>
  <si>
    <t>Almost Famous Juniors Zip-Up Emoji Patch To Red L</t>
  </si>
  <si>
    <t>190040374572</t>
  </si>
  <si>
    <t>Almost Famous Juniors Zip-Up Emoji Patch To Navy S</t>
  </si>
  <si>
    <t>695532488022</t>
  </si>
  <si>
    <t>Ultra Flirt Juniors Cowl-Neck Tunic Top Oatmeal Heather Marl XS</t>
  </si>
  <si>
    <t>190040373780</t>
  </si>
  <si>
    <t>Almost Famous Juniors Emoji Patch Hoodie Red S</t>
  </si>
  <si>
    <t>695532488060</t>
  </si>
  <si>
    <t>Ultra Flirt Juniors Cowl-Neck Tunic Top Oatmeal Heather Marl XL</t>
  </si>
  <si>
    <t>190040374589</t>
  </si>
  <si>
    <t>Almost Famous Juniors Zip-Up Emoji Patch To Navy M</t>
  </si>
  <si>
    <t>190040373698</t>
  </si>
  <si>
    <t>Almost Famous Juniors Emoji Patch Hoodie Grey S</t>
  </si>
  <si>
    <t>758315038033</t>
  </si>
  <si>
    <t>Freeze 24-7 Juniors Selfie Graphic Sweats Black L</t>
  </si>
  <si>
    <t>190344631111</t>
  </si>
  <si>
    <t>Disney Juniors Disney Mickey Mouse G Heather Grey XL</t>
  </si>
  <si>
    <t>887854080873</t>
  </si>
  <si>
    <t>Miss Chievous Juniors Crochet-Trim Cold-Sho Deep Blush M</t>
  </si>
  <si>
    <t>705143717326</t>
  </si>
  <si>
    <t>Energie Juniors Claire Striped Colorb Heather Grey M</t>
  </si>
  <si>
    <t>705143717395</t>
  </si>
  <si>
    <t>Energie Juniors Claire Striped Colorb CaviarGold S</t>
  </si>
  <si>
    <t>841060127715</t>
  </si>
  <si>
    <t>Hippie Rose Juniors Striped-Sleeve Pullov Blue Combo M</t>
  </si>
  <si>
    <t>841060127685</t>
  </si>
  <si>
    <t>Hippie Rose Juniors Striped-Sleeve Pullov Black Combo XL</t>
  </si>
  <si>
    <t>645545964686</t>
  </si>
  <si>
    <t>Rebellious One Juniors Seriously Cannot Grap Burgundy XL</t>
  </si>
  <si>
    <t>645545964747</t>
  </si>
  <si>
    <t>Rebellious One Juniors Peace Emoji Graphic H Black XL</t>
  </si>
  <si>
    <t>645545964808</t>
  </si>
  <si>
    <t>Rebellious One Juniors Rainbow Emoji Hoodie Grey XL</t>
  </si>
  <si>
    <t>887648707030</t>
  </si>
  <si>
    <t>Freeze 24-7 Juniors YAAASSS Emoji Graphic Charcoal Heather L</t>
  </si>
  <si>
    <t>190040385073</t>
  </si>
  <si>
    <t>Almost Famous Juniors Lace-Trim Henley Tuni Basil M</t>
  </si>
  <si>
    <t>190040385059</t>
  </si>
  <si>
    <t>Almost Famous Juniors Lace-Trim Henley Tuni Basil XS</t>
  </si>
  <si>
    <t>190040385196</t>
  </si>
  <si>
    <t>Almost Famous Juniors Lace-Trim Henley Tuni Red S</t>
  </si>
  <si>
    <t>190121212625</t>
  </si>
  <si>
    <t>Mighty Fine Juniors Pokemon Pikachu Graph Heather Charcoal XL</t>
  </si>
  <si>
    <t>190121212250</t>
  </si>
  <si>
    <t>Mighty Fine Juniors Pokemon Pikachu Grap Heather Grey M</t>
  </si>
  <si>
    <t>705143716459</t>
  </si>
  <si>
    <t>Energie Juniors Bella Racerback Sport CaviarJune Bug XS</t>
  </si>
  <si>
    <t>705143716534</t>
  </si>
  <si>
    <t>Energie Juniors Brooklyn Printed Comp Polished Storm Cloud L</t>
  </si>
  <si>
    <t>705143719580</t>
  </si>
  <si>
    <t>Energie Juniors Santi Printed Strappy Legion Blue L</t>
  </si>
  <si>
    <t>645545917149</t>
  </si>
  <si>
    <t>645545915350</t>
  </si>
  <si>
    <t>716068583279</t>
  </si>
  <si>
    <t>NTD Juniors Gilmore Girls Stars H WhiteRoyal Blue S</t>
  </si>
  <si>
    <t>GZJB2013</t>
  </si>
  <si>
    <t>706256917757</t>
  </si>
  <si>
    <t>190121222211</t>
  </si>
  <si>
    <t>Mighty Fine Juniors Star Wars Graphic T-S Burgundy XS</t>
  </si>
  <si>
    <t>190371327414</t>
  </si>
  <si>
    <t>Bioworld Juniors Batman Graphic Baseba White S</t>
  </si>
  <si>
    <t>841060127869</t>
  </si>
  <si>
    <t>Hippie Rose Juniors Henley Football T-Shi BlackWhite Combo M</t>
  </si>
  <si>
    <t>637677220112</t>
  </si>
  <si>
    <t>Belle Du Jour Juniors Crisscross V-Neck Hig Black M</t>
  </si>
  <si>
    <t>637677263256</t>
  </si>
  <si>
    <t>Belle Du Jour Juniors Crisscross V-Neck Hig Peachskin L</t>
  </si>
  <si>
    <t>645545964860</t>
  </si>
  <si>
    <t>Rebellious One Juniors Knotted High-Low T-Sh Heather GreyBlush Pinstripes XL</t>
  </si>
  <si>
    <t>705143716305</t>
  </si>
  <si>
    <t>Energie Juniors Abby Crisscross Low-I Caviar M</t>
  </si>
  <si>
    <t>887648705180</t>
  </si>
  <si>
    <t>Disney Juniors Stitch Graphic Ringer Grey Heather L</t>
  </si>
  <si>
    <t>190121212021</t>
  </si>
  <si>
    <t>Mighty Fine Juniors Pikachu Burst Graphic Heather GreyBlack XL</t>
  </si>
  <si>
    <t>190121211987</t>
  </si>
  <si>
    <t>Mighty Fine Juniors Pikachu Burst Graphic Heather GreyBlack XS</t>
  </si>
  <si>
    <t>889775069579</t>
  </si>
  <si>
    <t>American Rag Colored Wash Super-Skinny Jean Olive 0</t>
  </si>
  <si>
    <t>888825945191</t>
  </si>
  <si>
    <t>Material Girl Lace-Up Rib-Knit Bodysuit Zinfandel XXS</t>
  </si>
  <si>
    <t>705143716985</t>
  </si>
  <si>
    <t>Energie Juniors Laser-Cut Sporty Tank June Bug XL</t>
  </si>
  <si>
    <t>746194690343</t>
  </si>
  <si>
    <t>Rampage Juniors Drop-Shoulder Owl Gra Blue Tint Heather XS</t>
  </si>
  <si>
    <t>655998351704</t>
  </si>
  <si>
    <t>Material Girl Printed Lace Bandeau Bra Sugar Almond S</t>
  </si>
  <si>
    <t>708008371060</t>
  </si>
  <si>
    <t>City Studios Juniors Crop Top Striped Sk BlackWhite 3</t>
  </si>
  <si>
    <t>713701112414</t>
  </si>
  <si>
    <t>Material Girl Juniors 2-Pc. Lace-Trim Slip Zinfandel Combo M</t>
  </si>
  <si>
    <t>713701112339</t>
  </si>
  <si>
    <t>Material Girl Juniors 2-Pc. Lace-Trim Slip Black Combo S</t>
  </si>
  <si>
    <t>10372MG</t>
  </si>
  <si>
    <t>614015985971</t>
  </si>
  <si>
    <t>Rewash Juniors Ripped Dark Blue Wash Dark Blue 5</t>
  </si>
  <si>
    <t>889775090672</t>
  </si>
  <si>
    <t>Say What Juniors Bomber Jacket Zinfandel M</t>
  </si>
  <si>
    <t>GLITTER LOVE TANK</t>
  </si>
  <si>
    <t>M61108</t>
  </si>
  <si>
    <t>BCX Juniors Ruched-Sleeve Open-Fr Black S</t>
  </si>
  <si>
    <t>889775085395</t>
  </si>
  <si>
    <t>American Rag Crocheted Peasant Top Off White S</t>
  </si>
  <si>
    <t>826409611933</t>
  </si>
  <si>
    <t>BCX Juniors Sheer Belted A-Line D Multi S</t>
  </si>
  <si>
    <t>1008V17</t>
  </si>
  <si>
    <t>674153662288</t>
  </si>
  <si>
    <t>645545933972</t>
  </si>
  <si>
    <t>Material Girl Juniors Graphic Mesh-Inset Sw Heather Charcoal XS</t>
  </si>
  <si>
    <t>645545934016</t>
  </si>
  <si>
    <t>Material Girl Juniors Graphic Mesh-Inset Sw Heather Charcoal XL</t>
  </si>
  <si>
    <t>J8722DE4</t>
  </si>
  <si>
    <t>695532475763</t>
  </si>
  <si>
    <t>Ultra Flirt Juniors Nope Patches Fine-Gau Black L</t>
  </si>
  <si>
    <t>6AC84MC</t>
  </si>
  <si>
    <t>841060124332</t>
  </si>
  <si>
    <t>Hippie Rose Juniors Long-Sleeve Coccoon C Mountain Blue M</t>
  </si>
  <si>
    <t>695532480910</t>
  </si>
  <si>
    <t>Ultra Flirt Juniors Cowl-Neck Waffle-Knit Black XS</t>
  </si>
  <si>
    <t>637677215828</t>
  </si>
  <si>
    <t>Belle Du Jour Juniors Raglan-Sleeve Friday Alloy Grey S</t>
  </si>
  <si>
    <t>637677210946</t>
  </si>
  <si>
    <t>Belle Du Jour Juniors Raglan-Sleeve Southwe Rose Wine S</t>
  </si>
  <si>
    <t>0XWJNSNT</t>
  </si>
  <si>
    <t>190344542684</t>
  </si>
  <si>
    <t>Disney Juniors Disney Moana Images L Pearl L</t>
  </si>
  <si>
    <t>190344542653</t>
  </si>
  <si>
    <t>Disney Juniors Disney Moana Images L Pearl XS</t>
  </si>
  <si>
    <t>645545929968</t>
  </si>
  <si>
    <t>Rebellious One Juniors Long-Sleeve High-Low Olive Fatigue M</t>
  </si>
  <si>
    <t>705143664484</t>
  </si>
  <si>
    <t>Energie Juniors Scoop-Neck Top Medieval Blue L</t>
  </si>
  <si>
    <t>821942362359</t>
  </si>
  <si>
    <t>Planet Gold Juniors Spaghetti-Strap Tank Jalapeno Red XXS</t>
  </si>
  <si>
    <t>889775090726</t>
  </si>
  <si>
    <t>826410811148</t>
  </si>
  <si>
    <t>BCX Juniors Smocked Bell-Sleeve T Black XS</t>
  </si>
  <si>
    <t>889602128844</t>
  </si>
  <si>
    <t>Freshman Juniors Sleeveless Cowl-Neck Mittens L</t>
  </si>
  <si>
    <t>841060128101</t>
  </si>
  <si>
    <t>Hippie Rose Juniors Striped Sweater Bandana BlueIvory S</t>
  </si>
  <si>
    <t>706256576343</t>
  </si>
  <si>
    <t>695532487889</t>
  </si>
  <si>
    <t>Ultra Flirt Juniors Cowl-Neck Tunic Top CharcoalNatural Marl S</t>
  </si>
  <si>
    <t>887409061081</t>
  </si>
  <si>
    <t>LS LACEUP FRONT PLAID</t>
  </si>
  <si>
    <t>PK13708MC</t>
  </si>
  <si>
    <t>695532494870</t>
  </si>
  <si>
    <t>Ultra Flirt Juniors Contrast Asymmetrical Black S</t>
  </si>
  <si>
    <t>190371344435</t>
  </si>
  <si>
    <t>Bioworld Juniors Fantastic Beasts Grap Ivory S</t>
  </si>
  <si>
    <t>708008212165</t>
  </si>
  <si>
    <t>City Studios Juniors Embroidered Mermaid G WhiteNude 7</t>
  </si>
  <si>
    <t>3458QM3BTP</t>
  </si>
  <si>
    <t>637865015032</t>
  </si>
  <si>
    <t>Calvin Klein Jeans Skinny Patchwork Indigo Wash J Patchwork Indigo 31</t>
  </si>
  <si>
    <t>42YA780</t>
  </si>
  <si>
    <t>889775077840</t>
  </si>
  <si>
    <t>American Rag Plus Size Starling Wash Bootcu Starling Wash 18W</t>
  </si>
  <si>
    <t>791093320617</t>
  </si>
  <si>
    <t>In Awe of You by AwesomenessTV Juniors Tie-Neck Long-Sleeve Black XS</t>
  </si>
  <si>
    <t>SPJ346D1GIBM</t>
  </si>
  <si>
    <t>791093319727</t>
  </si>
  <si>
    <t>In Awe of You by AwesomenessTV Juniors Ruffled-Cuff Blazer Black L</t>
  </si>
  <si>
    <t>SPJ380J1GC6M</t>
  </si>
  <si>
    <t>791093319703</t>
  </si>
  <si>
    <t>In Awe of You by AwesomenessTV Juniors Ruffled-Cuff Blazer Black S</t>
  </si>
  <si>
    <t>708008355657</t>
  </si>
  <si>
    <t>City Studios Juniors 2-Pc. Floral-Lace Bod Champagne 3</t>
  </si>
  <si>
    <t>712683915358</t>
  </si>
  <si>
    <t>Calvin Klein Jeans Destructed Weekend Washed Blac Washed Black 27</t>
  </si>
  <si>
    <t>42VA788</t>
  </si>
  <si>
    <t>713701106581</t>
  </si>
  <si>
    <t>Material Girl Juniors Lace Bodycon Dress Zinfandel L</t>
  </si>
  <si>
    <t>889667098182</t>
  </si>
  <si>
    <t>ONeill Juniors Marisol Printed V-Bac Dark Beige M</t>
  </si>
  <si>
    <t>SU6404017</t>
  </si>
  <si>
    <t>791093319024</t>
  </si>
  <si>
    <t>In Awe of You by AwesomenessTV Juniors Sheer Bell-Sleeve Shi Multi M</t>
  </si>
  <si>
    <t>SPJ293D1W15M</t>
  </si>
  <si>
    <t>889775078700</t>
  </si>
  <si>
    <t>American Rag Colored Wash Super-Skinny Jean Zinfandel 1</t>
  </si>
  <si>
    <t>889775078816</t>
  </si>
  <si>
    <t>American Rag Colored Wash Super-Skinny Jean Zinfandel 5</t>
  </si>
  <si>
    <t>6BN91XZF.</t>
  </si>
  <si>
    <t>889775066141</t>
  </si>
  <si>
    <t>American Rag Black Wash Super-Skinny Jeans Black 15</t>
  </si>
  <si>
    <t>889775094786</t>
  </si>
  <si>
    <t>American Rag Juniors Ribbed Cold-Shoulder Zinfandel XXL</t>
  </si>
  <si>
    <t>889775030203</t>
  </si>
  <si>
    <t>American Rag Cropped Cuffed Colored Skinny Desert Sand 7</t>
  </si>
  <si>
    <t>6TN70DSN</t>
  </si>
  <si>
    <t>889351364869</t>
  </si>
  <si>
    <t>Roxy Juniors Island Joy Cold-Shoul White S</t>
  </si>
  <si>
    <t>ARJWT03121</t>
  </si>
  <si>
    <t>829092284880</t>
  </si>
  <si>
    <t>XOXO Juniors Grommet-Trim Sweater Red XL</t>
  </si>
  <si>
    <t>826409657290</t>
  </si>
  <si>
    <t>4055V9V</t>
  </si>
  <si>
    <t>822240159207</t>
  </si>
  <si>
    <t>BCX Juniors Crochet-Front Colorbl White L</t>
  </si>
  <si>
    <t>0092J2P</t>
  </si>
  <si>
    <t>826409657306</t>
  </si>
  <si>
    <t>BCX Juniors Ruched-Sleeve Open-Fr Black M</t>
  </si>
  <si>
    <t>759880906178</t>
  </si>
  <si>
    <t>American Rag Embroidered Faux-Suede Top Burnt Orange M</t>
  </si>
  <si>
    <t>829092222455</t>
  </si>
  <si>
    <t>XOXO Juniors Pull-On Slim-Leg Pant Black S</t>
  </si>
  <si>
    <t>8517MG</t>
  </si>
  <si>
    <t>888825945207</t>
  </si>
  <si>
    <t>Material Girl Lace-Up Rib-Knit Bodysuit Zinfandel XS</t>
  </si>
  <si>
    <t>829092247151</t>
  </si>
  <si>
    <t>XOXO Juniors Mock-Neck Grommet Top Gold XS</t>
  </si>
  <si>
    <t>746194690695</t>
  </si>
  <si>
    <t>Material Girl Active Juniors Embellished Jo Heather Charcoal XXL</t>
  </si>
  <si>
    <t>826409970825</t>
  </si>
  <si>
    <t>BCX Juniors Printed Split-Sleeve Patch Print XXS</t>
  </si>
  <si>
    <t>888825803231</t>
  </si>
  <si>
    <t>Tinseltown Juniors Denim Contrast Jacket Navy XS</t>
  </si>
  <si>
    <t>MYJ002935</t>
  </si>
  <si>
    <t>887043694003</t>
  </si>
  <si>
    <t>Celebrity Pink Juniors Paisley Metallic-Prin BlackPaisley Metallic Print 13</t>
  </si>
  <si>
    <t>888650119552</t>
  </si>
  <si>
    <t>Ariya Juniors Curvy Embellished Med Delano 5</t>
  </si>
  <si>
    <t>888650119347</t>
  </si>
  <si>
    <t>Ariya Juniors Embellished Slim Boot Grenada 13</t>
  </si>
  <si>
    <t>888650119330</t>
  </si>
  <si>
    <t>Ariya Juniors Embellished Slim Boot Grenada 11</t>
  </si>
  <si>
    <t>886680054584</t>
  </si>
  <si>
    <t>Tinseltown Juniors Metallic Skinny Jeans Gold 11</t>
  </si>
  <si>
    <t>791093319208</t>
  </si>
  <si>
    <t>In Awe of You by AwesomenessTV Juniors Sleeveless Lace-Yoke Black XS</t>
  </si>
  <si>
    <t>826409702839</t>
  </si>
  <si>
    <t>BCX Juniors Cutout Plaid Peplum T Black Plaid XL</t>
  </si>
  <si>
    <t>887840185827</t>
  </si>
  <si>
    <t>Emerald Sundae Juniors Knit Dress with Knot- NavyIvory XS</t>
  </si>
  <si>
    <t>826409526589</t>
  </si>
  <si>
    <t>BCX Juniors Slit-Sleeve Asymmetri White XS</t>
  </si>
  <si>
    <t>619720907218</t>
  </si>
  <si>
    <t>Be Bop Juniors High-Waist Bootcut Tr Black 9</t>
  </si>
  <si>
    <t>841907121197</t>
  </si>
  <si>
    <t>Indigo Rein Juniors Skinny Five-Pocket Co Fig 3</t>
  </si>
  <si>
    <t>619720907461</t>
  </si>
  <si>
    <t>Be Bop Juniors High-Waist Bootcut Tr Stone 15</t>
  </si>
  <si>
    <t>826409604959</t>
  </si>
  <si>
    <t>BCX Juniors Rib-Knit Sweater Dres Dark Gray M</t>
  </si>
  <si>
    <t>791093338346</t>
  </si>
  <si>
    <t>Trolls by DreamWorks Juniors Cold-Shoulder Graphic Black L</t>
  </si>
  <si>
    <t>645545933934</t>
  </si>
  <si>
    <t>Material Girl Juniors Cold-Shoulder Graphic White XL</t>
  </si>
  <si>
    <t>645545933842</t>
  </si>
  <si>
    <t>Material Girl Juniors Mesh-Inset Graphic Sw Black L</t>
  </si>
  <si>
    <t>645545933811</t>
  </si>
  <si>
    <t>Material Girl Juniors Mesh-Inset Graphic Sw Black XS</t>
  </si>
  <si>
    <t>840523199153</t>
  </si>
  <si>
    <t>Indigo Rein Juniors Light Blue Wash Cropp Light Blue 11</t>
  </si>
  <si>
    <t>826410943924</t>
  </si>
  <si>
    <t>BCX Juniors Cropped Bootcut Trous Black 13</t>
  </si>
  <si>
    <t>888825870585</t>
  </si>
  <si>
    <t>Tinseltown Juniors High-Waist Skinny Jea Moss Camo Printed 11</t>
  </si>
  <si>
    <t>888825791491</t>
  </si>
  <si>
    <t>Tinseltown Juniors High-Waist Skinny Jea Medium Wash 0</t>
  </si>
  <si>
    <t>MYB018891</t>
  </si>
  <si>
    <t>614015968257</t>
  </si>
  <si>
    <t>Rewash Juniors Pull-On Jeggings Black 15</t>
  </si>
  <si>
    <t>650868920332</t>
  </si>
  <si>
    <t>BCX Juniors Pull-On Skinny Pants Black XS</t>
  </si>
  <si>
    <t>889901118348</t>
  </si>
  <si>
    <t>Hooked Up by IOT Juniors Hooded Knee-Length Ca VinoFall Rainbow Space Dye Co XL</t>
  </si>
  <si>
    <t>826409542305</t>
  </si>
  <si>
    <t>BCX Juniors Split-Overlay Tie-Fro White M</t>
  </si>
  <si>
    <t>1008V64</t>
  </si>
  <si>
    <t>826410451092</t>
  </si>
  <si>
    <t>BCX Juniors Pleated A-Line Skirt Black 3</t>
  </si>
  <si>
    <t>0044W43</t>
  </si>
  <si>
    <t>889901118232</t>
  </si>
  <si>
    <t>Hooked Up by IOT Juniors Hooded Knee-Length Ca Dark GreyHeather Charcoal Spa L</t>
  </si>
  <si>
    <t>889602093845</t>
  </si>
  <si>
    <t>Freshman Juniors Ribbed Open-Front Car Berry Wine XS</t>
  </si>
  <si>
    <t>889602094323</t>
  </si>
  <si>
    <t>Freshman Juniors Ribbed Open-Front Car Jet BlackBlank Canvas XS</t>
  </si>
  <si>
    <t>5T52600MC</t>
  </si>
  <si>
    <t>886986120013</t>
  </si>
  <si>
    <t>American Rag Knotted High-Low Top Zinfandel XS</t>
  </si>
  <si>
    <t>A4M2490AR</t>
  </si>
  <si>
    <t>695532440488</t>
  </si>
  <si>
    <t>Ultra Flirt Juniors Space-Dyed Mitered-He BlackGrayIvory L</t>
  </si>
  <si>
    <t>889602101304</t>
  </si>
  <si>
    <t>Jessica Simpson Juniors Compression Tank Top Glowing Ember XS</t>
  </si>
  <si>
    <t>841060124158</t>
  </si>
  <si>
    <t>Hippie Rose Juniors Striped Heathered Sof Mountain Blue XL</t>
  </si>
  <si>
    <t>841060119475</t>
  </si>
  <si>
    <t>Hippie Rose Juniors Open-Front Side-Slit Olive Branch S</t>
  </si>
  <si>
    <t>706256235349</t>
  </si>
  <si>
    <t>Material Girl Contrast-Waist Yoga Pants Black XXS</t>
  </si>
  <si>
    <t>706256732381</t>
  </si>
  <si>
    <t>Material Girl Juniors Graphic Jogger Pants Black</t>
  </si>
  <si>
    <t>841060124356</t>
  </si>
  <si>
    <t>Hippie Rose Juniors Long-Sleeve Coccoon C Mountain Blue XL</t>
  </si>
  <si>
    <t>705143712611</t>
  </si>
  <si>
    <t>Energie Juniors Lulu Layered-Look Las BlackPrinted M</t>
  </si>
  <si>
    <t>705143712697</t>
  </si>
  <si>
    <t>Energie Juniors Lulu Layered-Look Las Berry XL</t>
  </si>
  <si>
    <t>705143717029</t>
  </si>
  <si>
    <t>Energie Juniors Laser-Cut Sporty Tank Black M</t>
  </si>
  <si>
    <t>889901063532</t>
  </si>
  <si>
    <t>Hooked Up by IOT Juniors Cowl-Neck Pullover Sw Spiritual Vanilla XL</t>
  </si>
  <si>
    <t>619720917019</t>
  </si>
  <si>
    <t>Be Bop Juniors Lace-Trim Velvet Top Black S</t>
  </si>
  <si>
    <t>705143698809</t>
  </si>
  <si>
    <t>Energie Juniors Willow Textured-Strip Caviar M</t>
  </si>
  <si>
    <t>887854013055</t>
  </si>
  <si>
    <t>Miss Chievous Juniors Embellished Pleated C Black L</t>
  </si>
  <si>
    <t>887854007344</t>
  </si>
  <si>
    <t>Miss Chievous Juniors Shine Asymmetrical-He Black M</t>
  </si>
  <si>
    <t>JC3194W372</t>
  </si>
  <si>
    <t>887854007337</t>
  </si>
  <si>
    <t>Miss Chievous Juniors Shine Asymmetrical-He Black S</t>
  </si>
  <si>
    <t>887854013062</t>
  </si>
  <si>
    <t>Miss Chievous Juniors Embellished Pleated C Black XL</t>
  </si>
  <si>
    <t>841060122062</t>
  </si>
  <si>
    <t>Hippie Rose Juniors Lace-Up Marled Knit T Olive Branch XS</t>
  </si>
  <si>
    <t>841060121232</t>
  </si>
  <si>
    <t>Hippie Rose Juniors Pullover Hoodie BlackIvory M</t>
  </si>
  <si>
    <t>887409043490</t>
  </si>
  <si>
    <t>Polly Esther Juniors Cropped Button-Front BlackWhite M</t>
  </si>
  <si>
    <t>PW13059MC</t>
  </si>
  <si>
    <t>695532443601</t>
  </si>
  <si>
    <t>Ultra Flirt Juniors Cocoon-Hem Cardigan Tawny Port M</t>
  </si>
  <si>
    <t>637677213237</t>
  </si>
  <si>
    <t>Belle Du Jour Juniors Lace-Trim Cage-Front Heather Grey M</t>
  </si>
  <si>
    <t>190040298427</t>
  </si>
  <si>
    <t>Almost Famous Juniors Lace-Trim Roll-Sleeve Ivory L</t>
  </si>
  <si>
    <t>190040298410</t>
  </si>
  <si>
    <t>Almost Famous Juniors Lace-Trim Roll-Sleeve Ivory M</t>
  </si>
  <si>
    <t>190040298403</t>
  </si>
  <si>
    <t>Almost Famous Juniors Lace-Trim Roll-Sleeve Ivory S</t>
  </si>
  <si>
    <t>637677482282</t>
  </si>
  <si>
    <t>Material Girl Juniors Contrast Flocked Text Chili Pepper Combo L</t>
  </si>
  <si>
    <t>841060117136</t>
  </si>
  <si>
    <t>Hippie Rose Juniors Lace-Trim High-Low Tu Black M</t>
  </si>
  <si>
    <t>841060118577</t>
  </si>
  <si>
    <t>Hippie Rose Juniors Striped Cowl-Neck Tun Light Heather GreyBlack Combo S</t>
  </si>
  <si>
    <t>695532480996</t>
  </si>
  <si>
    <t>Ultra Flirt Juniors Cowl-Neck Waffle-Knit Burgundy L</t>
  </si>
  <si>
    <t>841060117488</t>
  </si>
  <si>
    <t>Hippie Rose Juniors Buttons Lace High-L Heather Oatmeal M</t>
  </si>
  <si>
    <t>637677215859</t>
  </si>
  <si>
    <t>Belle Du Jour Juniors Raglan-Sleeve Friday Alloy Grey XL</t>
  </si>
  <si>
    <t>645545953758</t>
  </si>
  <si>
    <t>Material Girl Juniors Graphic Racerback Tan Bright White XL</t>
  </si>
  <si>
    <t>645545916081</t>
  </si>
  <si>
    <t>Material Girl Mesh-Back Graphic Tank Top Heather Platinum S</t>
  </si>
  <si>
    <t>645545916012</t>
  </si>
  <si>
    <t>Material Girl Mesh-Back Graphic Tank Top White M</t>
  </si>
  <si>
    <t>645545892910</t>
  </si>
  <si>
    <t>Material Girl Juniors Cutout-Back Burnout T Dipdie Fushia S</t>
  </si>
  <si>
    <t>887648644441</t>
  </si>
  <si>
    <t>Trolls by DreamWorks Juniors Trolls Graphic Raglan WhiteOlive M</t>
  </si>
  <si>
    <t>695532487254</t>
  </si>
  <si>
    <t>Ultra Flirt Juniors Scoop-Back Pullover T Peacoa Blue XS</t>
  </si>
  <si>
    <t>887648661622</t>
  </si>
  <si>
    <t>Freeze 24-7 Juniors Marvel Heroes Metalli WhiteBlack XL</t>
  </si>
  <si>
    <t>190121195812</t>
  </si>
  <si>
    <t>Mighty Fine Juniors Peanuts Mummy Graphic WhiteMaroon L</t>
  </si>
  <si>
    <t>F2672ARU1-MACY</t>
  </si>
  <si>
    <t>190344362978</t>
  </si>
  <si>
    <t>Trolls by DreamWorks Juniors Trolls Graphic Raglan Soft Pink XS</t>
  </si>
  <si>
    <t>889901106215</t>
  </si>
  <si>
    <t>Hooked Up by IOT Juniors Holiday Tree Beanie H Green Combo ONE SIZE</t>
  </si>
  <si>
    <t>J62212</t>
  </si>
  <si>
    <t>645545909946</t>
  </si>
  <si>
    <t>Rebellious One Juniors High-Low Graphic Tank Neon Pink L</t>
  </si>
  <si>
    <t>2047JX6459</t>
  </si>
  <si>
    <t>887069483544</t>
  </si>
  <si>
    <t>Pink Rose Juniors Lace-Front Short-Slee Ivory L</t>
  </si>
  <si>
    <t>PS626889</t>
  </si>
  <si>
    <t>887069483506</t>
  </si>
  <si>
    <t>Pink Rose Juniors Lace-Front Short-Slee Forest Olive XL</t>
  </si>
  <si>
    <t>821942425047</t>
  </si>
  <si>
    <t>Planet Gold Juniors Rib-Knit Cold-Shoulde Black M</t>
  </si>
  <si>
    <t>821942362304</t>
  </si>
  <si>
    <t>Planet Gold Juniors Spaghetti-Strap Tank Jalapeno Red M</t>
  </si>
  <si>
    <t>39373796340</t>
  </si>
  <si>
    <t>10</t>
  </si>
  <si>
    <t>637865093931</t>
  </si>
  <si>
    <t>759880964840</t>
  </si>
  <si>
    <t>Sequin Hearts Juniors Glitter Lace Crop Top Wine 7</t>
  </si>
  <si>
    <t>4031RY1P</t>
  </si>
  <si>
    <t>822982621062</t>
  </si>
  <si>
    <t>Jessica Simpson Arielle Embroidered Peasant Sh BlackWhite L</t>
  </si>
  <si>
    <t>889667472227</t>
  </si>
  <si>
    <t>889667472203</t>
  </si>
  <si>
    <t>652874810683</t>
  </si>
  <si>
    <t>Speechless Juniors Embellished Bodycon H Emerald Green 3</t>
  </si>
  <si>
    <t>889351485069</t>
  </si>
  <si>
    <t>632421523440</t>
  </si>
  <si>
    <t>Love Squared Trendy Plus Size Wide-Leg Jump Blackivory 1X</t>
  </si>
  <si>
    <t>INK764H3886</t>
  </si>
  <si>
    <t>708008371206</t>
  </si>
  <si>
    <t>City Studios Juniors Illusion Colorblock S Navywhite 15</t>
  </si>
  <si>
    <t>829092314310</t>
  </si>
  <si>
    <t>XOXO Juniors Embellished Peplum To Pink XS</t>
  </si>
  <si>
    <t>826410484748</t>
  </si>
  <si>
    <t>BCX Juniors Lace-Trim Off-The-Sho Black XL</t>
  </si>
  <si>
    <t>637865190807</t>
  </si>
  <si>
    <t>Calvin Klein Jeans Mixed-Media Sleeveless Top Black L</t>
  </si>
  <si>
    <t>42ZK215</t>
  </si>
  <si>
    <t>889351230201</t>
  </si>
  <si>
    <t>889631061686</t>
  </si>
  <si>
    <t>706256917825</t>
  </si>
  <si>
    <t>706256917849</t>
  </si>
  <si>
    <t>706256917979</t>
  </si>
  <si>
    <t>889775093413</t>
  </si>
  <si>
    <t>889775109503</t>
  </si>
  <si>
    <t>American Rag Crocheted Tie-Front Peasant To Canyon Rose S</t>
  </si>
  <si>
    <t>746194693528</t>
  </si>
  <si>
    <t>Material Girl Juniors Illusion Dot Bodysuit Egret XL</t>
  </si>
  <si>
    <t>889456078678</t>
  </si>
  <si>
    <t>Rampage Juniors Paint-Splattered Skin Harrison Wash 7</t>
  </si>
  <si>
    <t>889456078630</t>
  </si>
  <si>
    <t>Rampage Juniors Paint-Splattered Skin Harrison Wash 15</t>
  </si>
  <si>
    <t>889456082187</t>
  </si>
  <si>
    <t>784645228653</t>
  </si>
  <si>
    <t>REWIND Juniors Techno Tuck Cuffed Sk Blue 9</t>
  </si>
  <si>
    <t>887043730206</t>
  </si>
  <si>
    <t>Celebrity Pink Juniors Body Sculpt The Lifte Free Spirit 3</t>
  </si>
  <si>
    <t>826410703047</t>
  </si>
  <si>
    <t>BCX Button-Front Blouse Red S</t>
  </si>
  <si>
    <t>101422T</t>
  </si>
  <si>
    <t>887043507006</t>
  </si>
  <si>
    <t>Celebrity Pink Juniors Skinny Ankle Jeans Riviera Wash 1</t>
  </si>
  <si>
    <t>887863256764</t>
  </si>
  <si>
    <t>BCX Juniors Lace A-Line Skirt Black M</t>
  </si>
  <si>
    <t>0026D4K</t>
  </si>
  <si>
    <t>887043721907</t>
  </si>
  <si>
    <t>Celebrity Pink Juniors Skinny Jeans Vivid Blue 15</t>
  </si>
  <si>
    <t>887043721846</t>
  </si>
  <si>
    <t>Celebrity Pink Juniors Skinny Jeans Vivid Blue 3</t>
  </si>
  <si>
    <t>887043733795</t>
  </si>
  <si>
    <t>Celebrity Pink Juniors Skinny Jeans Spectra Yellow 5</t>
  </si>
  <si>
    <t>887043733788</t>
  </si>
  <si>
    <t>Celebrity Pink Juniors Skinny Jeans Spectra Yellow 3</t>
  </si>
  <si>
    <t>889602133954</t>
  </si>
  <si>
    <t>Jessica Simpson Juniors Open-Back Compression Jet Black L</t>
  </si>
  <si>
    <t>619720921184</t>
  </si>
  <si>
    <t>Be Bop Juniors Lucy Textured Shorts Black XL</t>
  </si>
  <si>
    <t>826410809459</t>
  </si>
  <si>
    <t>BCX Juniors Bell-Sleeve Blouse Off White M</t>
  </si>
  <si>
    <t>190040349785</t>
  </si>
  <si>
    <t>Almost Famous Juniors Patch-Trim Tunic Bomb Light Heather Grey M</t>
  </si>
  <si>
    <t>190040349938</t>
  </si>
  <si>
    <t>Almost Famous Juniors Colorblock Bomber Jac Light Heather Grey M</t>
  </si>
  <si>
    <t>SP6136MAC</t>
  </si>
  <si>
    <t>190040349563</t>
  </si>
  <si>
    <t>Almost Famous Juniors Patch Knit Bomber Jac Olive Combo L</t>
  </si>
  <si>
    <t>826422045142</t>
  </si>
  <si>
    <t>BCX Printed Handkerchief-Hem Tank NavyPapaya Multi M</t>
  </si>
  <si>
    <t>109024H</t>
  </si>
  <si>
    <t>637677242862</t>
  </si>
  <si>
    <t>Belle Du Jour Juniors Cardigan, T-Shirt and Heather Grey XL</t>
  </si>
  <si>
    <t>1DFJELUH</t>
  </si>
  <si>
    <t>637677236960</t>
  </si>
  <si>
    <t>Belle Du Jour Juniors Cardigan, T-Shirt and Dark Purple XL</t>
  </si>
  <si>
    <t>1DGENSXS</t>
  </si>
  <si>
    <t>637677242770</t>
  </si>
  <si>
    <t>Belle Du Jour Juniors Cardigan, T-Shirt and Black XS</t>
  </si>
  <si>
    <t>190040326090</t>
  </si>
  <si>
    <t>Almost Famous Juniors Dreamcatcher Sweater Black Combo XS</t>
  </si>
  <si>
    <t>RW2830MC</t>
  </si>
  <si>
    <t>841060127043</t>
  </si>
  <si>
    <t>Hippie Rose Juniors Zip-Front Velour Hood Tapestry Blue XS</t>
  </si>
  <si>
    <t>841060126848</t>
  </si>
  <si>
    <t>Hippie Rose Juniors Zip-Front Velour Hood Black XS</t>
  </si>
  <si>
    <t>706257071120</t>
  </si>
  <si>
    <t>Material Girl Juniors Crisscross Cropped Ac Flashmode XXS</t>
  </si>
  <si>
    <t>841060126664</t>
  </si>
  <si>
    <t>DRAFT - Hippie Rose Juniors V Pioneer OliveIvory L</t>
  </si>
  <si>
    <t>841060126633</t>
  </si>
  <si>
    <t>DRAFT - Hippie Rose Juniors V Pioneer OliveIvory XS</t>
  </si>
  <si>
    <t>841060126695</t>
  </si>
  <si>
    <t>DRAFT - Hippie Rose Juniors V Tapestry BlueIvory S</t>
  </si>
  <si>
    <t>190121171205</t>
  </si>
  <si>
    <t>Mighty Fine Juniors Disney Stitch Graphic Heather GreyNavy L</t>
  </si>
  <si>
    <t>F2658ICA1-MACY</t>
  </si>
  <si>
    <t>695532488091</t>
  </si>
  <si>
    <t>Ultra Flirt Juniors Cowl-Neck Tunic Top Olive Night Marl M</t>
  </si>
  <si>
    <t>190040271499</t>
  </si>
  <si>
    <t>PEASANT W LACE INSERT</t>
  </si>
  <si>
    <t>TT9980-3021-0009-CF</t>
  </si>
  <si>
    <t>841060126428</t>
  </si>
  <si>
    <t>DRAFT - Hippie Rose Juniors L Dixie Garnet XL</t>
  </si>
  <si>
    <t>190040373681</t>
  </si>
  <si>
    <t>Almost Famous Juniors Emoji Patch Hoodie Grey XS</t>
  </si>
  <si>
    <t>887854079365</t>
  </si>
  <si>
    <t>Miss Chievous Juniors Crochet-Trim Cold-Sho Port Royal XL</t>
  </si>
  <si>
    <t>841060127555</t>
  </si>
  <si>
    <t>Hippie Rose Juniors Striped-Sleeve Top Medium Heather Grey S</t>
  </si>
  <si>
    <t>887409060510</t>
  </si>
  <si>
    <t>Polly Esther Juniors Plaid Button-Front Sh BlueRed M</t>
  </si>
  <si>
    <t>887409060411</t>
  </si>
  <si>
    <t>Polly Esther Juniors Plaid Button-Front Sh BlackBurgundy M</t>
  </si>
  <si>
    <t>889602138133</t>
  </si>
  <si>
    <t>Jessica Simpson Juniors Graphic Tank Top Flutter Pink XL</t>
  </si>
  <si>
    <t>889602143618</t>
  </si>
  <si>
    <t>Freshman Juniors Cloud Chaser Rib-Knit Jet Black XL</t>
  </si>
  <si>
    <t>190121222044</t>
  </si>
  <si>
    <t>Mighty Fine Juniors Disney The Lion King LinenLight Blue L</t>
  </si>
  <si>
    <t>706254964005</t>
  </si>
  <si>
    <t>NOIR NOIR W/ LACE SHORT</t>
  </si>
  <si>
    <t>M6313NR212</t>
  </si>
  <si>
    <t>645545932784</t>
  </si>
  <si>
    <t>Material Girl Juniors Graphic Tank Top Bright White M</t>
  </si>
  <si>
    <t>716068580926</t>
  </si>
  <si>
    <t>2-Kuhl Juniors High-Low Friends Grap White M</t>
  </si>
  <si>
    <t>695532495075</t>
  </si>
  <si>
    <t>Ultra Flirt Juniors Contrast Asymmetrical WhiteHeather Grey S</t>
  </si>
  <si>
    <t>695532494955</t>
  </si>
  <si>
    <t>Ultra Flirt Juniors Contrast Asymmetrical Olive Night XL</t>
  </si>
  <si>
    <t>190371327469</t>
  </si>
  <si>
    <t>Bioworld Juniors Wonder Woman Graphic White S</t>
  </si>
  <si>
    <t>RG4RY0DCO</t>
  </si>
  <si>
    <t>695532495136</t>
  </si>
  <si>
    <t>Ultra Flirt Juniors Contrast Asymmetrical Wine Tasting M</t>
  </si>
  <si>
    <t>190344631296</t>
  </si>
  <si>
    <t>Disney Juniors Disney Minnie Mouse L Ivory M</t>
  </si>
  <si>
    <t>JS3012JDY4970</t>
  </si>
  <si>
    <t>645545959903</t>
  </si>
  <si>
    <t>706256894676</t>
  </si>
  <si>
    <t>Material Girl Active Juniors Metallic Zip H Rose Gold XS</t>
  </si>
  <si>
    <t>ESN1420001</t>
  </si>
  <si>
    <t>822982636967</t>
  </si>
  <si>
    <t>Jessica Simpson Hyne Bell-Sleeve Sweater White XL</t>
  </si>
  <si>
    <t>637677236953</t>
  </si>
  <si>
    <t>Belle Du Jour Juniors Cardigan, T-Shirt and Dark Purple L</t>
  </si>
  <si>
    <t>841060127111</t>
  </si>
  <si>
    <t>Hippie Rose Juniors Velour Flare-Leg Pant Black M</t>
  </si>
  <si>
    <t>637677212384</t>
  </si>
  <si>
    <t>Belle Du Jour Juniors Celestial Metallic Gr Black S</t>
  </si>
  <si>
    <t>SPJ285J1GINM</t>
  </si>
  <si>
    <t>791093327982</t>
  </si>
  <si>
    <t>In Awe of You by AwesomenessTV Juniors Satin Colorblocked Bo Blackruby XS</t>
  </si>
  <si>
    <t>746194690329</t>
  </si>
  <si>
    <t>Rampage Juniors Drop-Shoulder Owl Gra Blue Tint Heather M</t>
  </si>
  <si>
    <t>705143664378</t>
  </si>
  <si>
    <t>Energie Juniors Scoop-Neck Top Light Heather Grey M</t>
  </si>
  <si>
    <t>705143664385</t>
  </si>
  <si>
    <t>Energie Juniors Scoop-Neck Top Light Heather Grey S</t>
  </si>
  <si>
    <t>10357MG</t>
  </si>
  <si>
    <t>841413125238</t>
  </si>
  <si>
    <t>OhMG Juniors Star Sequin Embroider Black S</t>
  </si>
  <si>
    <t>695532480781</t>
  </si>
  <si>
    <t>Ultra Flirt Juniors Sleeveless Mock-Neck Gardenia M</t>
  </si>
  <si>
    <t>705143698885</t>
  </si>
  <si>
    <t>Energie Juniors Molly V-Neck Textured Boysenberry XL</t>
  </si>
  <si>
    <t>637865189474</t>
  </si>
  <si>
    <t>Calvin Klein Jeans Denim Belted Shirt Dress Emily Mid Rinse L</t>
  </si>
  <si>
    <t>708008363720</t>
  </si>
  <si>
    <t>City Studios Juniors Scallop-Trim Lace Bod NudeBlack 3</t>
  </si>
  <si>
    <t>708008376836</t>
  </si>
  <si>
    <t>City Studios Juniors Off-The-Shoulder Stri BlackWhite 9</t>
  </si>
  <si>
    <t>887840220214</t>
  </si>
  <si>
    <t>Emerald Sundae Juniors Shine Sweetheart Body Royal Blue M</t>
  </si>
  <si>
    <t>889631050390</t>
  </si>
  <si>
    <t>Crystal Doll Juniors Floral-Print High-Low Pink Floral M</t>
  </si>
  <si>
    <t>686812525629</t>
  </si>
  <si>
    <t>American Rag Knit-Trim Hooded Anorak Jacket Sage XXL</t>
  </si>
  <si>
    <t>829092212340</t>
  </si>
  <si>
    <t>XOXO Juniors Culotte Jumpsuit Ivory S</t>
  </si>
  <si>
    <t>9657ANT3</t>
  </si>
  <si>
    <t>829092256863</t>
  </si>
  <si>
    <t>XOXO Juniors Embellished Blazer Hunter L</t>
  </si>
  <si>
    <t>791093296332</t>
  </si>
  <si>
    <t>In Awe of You by AwesomenessTV Juniors Ruffle-Neck Cutout Fi Marshmallow XS</t>
  </si>
  <si>
    <t>SPJ145D1GC6M</t>
  </si>
  <si>
    <t>889775076096</t>
  </si>
  <si>
    <t>American Rag Lace-Up Floral-Print Romper Black Combo XS</t>
  </si>
  <si>
    <t>6BN03D</t>
  </si>
  <si>
    <t>713701027596</t>
  </si>
  <si>
    <t>American Rag Lace-Panel Belted Dress Pale Mauve S</t>
  </si>
  <si>
    <t>W33149PMV</t>
  </si>
  <si>
    <t>886680035279</t>
  </si>
  <si>
    <t>Material Girl Juniors Mesh-Sleeve Moto Jack Zinfandel S</t>
  </si>
  <si>
    <t>889775098067</t>
  </si>
  <si>
    <t>American Rag Trendy Plus Size Floral-Print Oatmeal Combo 1X</t>
  </si>
  <si>
    <t>886680015172</t>
  </si>
  <si>
    <t>Material Girl Juniors Flocked Mesh-Inset Fi Chili Pepper Combo S</t>
  </si>
  <si>
    <t>882486807966</t>
  </si>
  <si>
    <t>XOXO Junions Cap-Sleeve Peplum She White 12</t>
  </si>
  <si>
    <t>829092190860</t>
  </si>
  <si>
    <t>XOXO Juniors Button-Detail Wide-Le Ivory 78</t>
  </si>
  <si>
    <t>708008287477</t>
  </si>
  <si>
    <t>City Studios Juniors Textured Faux-Tiered Navy 13</t>
  </si>
  <si>
    <t>889775084350</t>
  </si>
  <si>
    <t>American Rag Printed Pintucked Blouse Floral Print XS</t>
  </si>
  <si>
    <t>889237844201</t>
  </si>
  <si>
    <t>As U Wish Juniors Velvet Burnout Slip D Black S</t>
  </si>
  <si>
    <t>822982607387</t>
  </si>
  <si>
    <t>Jessica Simpson Adora Crocheted-Trim Top Black M</t>
  </si>
  <si>
    <t>822982607547</t>
  </si>
  <si>
    <t>Jessica Simpson Adora Crocheted-Trim Top Italian Plum XL</t>
  </si>
  <si>
    <t>889387987698</t>
  </si>
  <si>
    <t>In Awe of You by AwesomenessTV Juniors Sleeveless Lace-Yoke Black M</t>
  </si>
  <si>
    <t>SPJ349T1DMQM</t>
  </si>
  <si>
    <t>826409936036</t>
  </si>
  <si>
    <t>BCX Juniors Striped Mock-Neck Tun Black L</t>
  </si>
  <si>
    <t>1011T43</t>
  </si>
  <si>
    <t>826410123845</t>
  </si>
  <si>
    <t>BCX Juniors Lace-Trim Tie-Front B White S</t>
  </si>
  <si>
    <t>826409243776</t>
  </si>
  <si>
    <t>BCX Juniors Sleeveless Embellishe White XS</t>
  </si>
  <si>
    <t>1023N61</t>
  </si>
  <si>
    <t>841413126587</t>
  </si>
  <si>
    <t>OhMG Juniors Southwest Asymmetrica NavySlate XS</t>
  </si>
  <si>
    <t>887043601179</t>
  </si>
  <si>
    <t>Celebrity Pink Juniors Skinny Jeans Eiffel Tower 3</t>
  </si>
  <si>
    <t>888825992003</t>
  </si>
  <si>
    <t>Tinseltown Juniors Moto Burgundy Wash Sk RedBlack 9</t>
  </si>
  <si>
    <t>614015986152</t>
  </si>
  <si>
    <t>Rewash Juniors Printed Smocked-Waist Natrual Print XS</t>
  </si>
  <si>
    <t>J6465ACR721</t>
  </si>
  <si>
    <t>840523199160</t>
  </si>
  <si>
    <t>Indigo Rein Juniors Light Blue Wash Cropp Light Blue 13</t>
  </si>
  <si>
    <t>AN2206C1MZ</t>
  </si>
  <si>
    <t>888825870523</t>
  </si>
  <si>
    <t>Tinseltown Juniors High-Waist Skinny Jea Moss Camo Printed 0</t>
  </si>
  <si>
    <t>841060123243</t>
  </si>
  <si>
    <t>Hippie Rose Juniors Crisscross-Back High- Retro Marooon L</t>
  </si>
  <si>
    <t>841060123281</t>
  </si>
  <si>
    <t>Hippie Rose Juniors Striped Crisscross-Ba Wicked Combo M</t>
  </si>
  <si>
    <t>887043628435</t>
  </si>
  <si>
    <t>Celebrity Pink Juniors Skinny Ponte Pants Olive Night 5</t>
  </si>
  <si>
    <t>887043628411</t>
  </si>
  <si>
    <t>Celebrity Pink Juniors Skinny Ponte Pants Olive Night 1</t>
  </si>
  <si>
    <t>841060123267</t>
  </si>
  <si>
    <t>Hippie Rose Juniors Striped Crisscross-Ba Wicked Combo XS</t>
  </si>
  <si>
    <t>841060123014</t>
  </si>
  <si>
    <t>Hippie Rose Juniors Striped Crisscross-Ba Black Combo XS</t>
  </si>
  <si>
    <t>841060123045</t>
  </si>
  <si>
    <t>Hippie Rose Juniors Striped Crisscross-Ba Black Combo L</t>
  </si>
  <si>
    <t>841060123021</t>
  </si>
  <si>
    <t>Hippie Rose Juniors Striped Crisscross-Ba Black Combo S</t>
  </si>
  <si>
    <t>841060123236</t>
  </si>
  <si>
    <t>Hippie Rose Juniors Crisscross-Back High- Retro Marooon M</t>
  </si>
  <si>
    <t>695532480897</t>
  </si>
  <si>
    <t>Ultra Flirt Juniors Sleeveless Mock-Neck Wine Tasting L</t>
  </si>
  <si>
    <t>889901060111</t>
  </si>
  <si>
    <t>Hooked Up by IOT Juniors Zipper-Trim Pullover Fall KaleBlack Marl Combo M</t>
  </si>
  <si>
    <t>706256235370</t>
  </si>
  <si>
    <t>Material Girl Foil-Printed Fearless Yoga Leg Black M</t>
  </si>
  <si>
    <t>887648661349</t>
  </si>
  <si>
    <t>Freeze 24-7 Juniors Disney Minnie Mouse S Red XS</t>
  </si>
  <si>
    <t>IESJQ23-8J74</t>
  </si>
  <si>
    <t>887648645288</t>
  </si>
  <si>
    <t>Disney Juniors Lilo Stitch Patch G Navy S</t>
  </si>
  <si>
    <t>706256575964</t>
  </si>
  <si>
    <t>Material Girl Love Contrast Yoga Leggings BlackLeopard XS</t>
  </si>
  <si>
    <t>645545932166</t>
  </si>
  <si>
    <t>Material Girl Active Juniors Metallic Hoodi Heather Charcoal XL</t>
  </si>
  <si>
    <t>841060124318</t>
  </si>
  <si>
    <t>Hippie Rose Juniors Long-Sleeve Coccoon C Mountain Blue XS</t>
  </si>
  <si>
    <t>705143698878</t>
  </si>
  <si>
    <t>Energie Juniors Molly V-Neck Textured Boysenberry S</t>
  </si>
  <si>
    <t>705143712635</t>
  </si>
  <si>
    <t>Energie Juniors Lulu Layered-Look Las BlackPrinted XL</t>
  </si>
  <si>
    <t>889901063389</t>
  </si>
  <si>
    <t>Hooked Up by IOT Juniors Cowl-Neck Pullover Sw Faded Indigo L</t>
  </si>
  <si>
    <t>889901063761</t>
  </si>
  <si>
    <t>Hooked Up by IOT Juniors V-Neck Lace-Up Fine-G Black XXS</t>
  </si>
  <si>
    <t>841060125025</t>
  </si>
  <si>
    <t>Hippie Rose Juniors Dolman-Sleeve Graphic Olive Branch S</t>
  </si>
  <si>
    <t>887409049225</t>
  </si>
  <si>
    <t>Polly Esther Juniors Buffalo-Plaid Roll-Sl BlueBlack S</t>
  </si>
  <si>
    <t>PW12635MC</t>
  </si>
  <si>
    <t>705143698618</t>
  </si>
  <si>
    <t>Energie Juniors Willow Textured-Strip Dark Heather L</t>
  </si>
  <si>
    <t>887854013024</t>
  </si>
  <si>
    <t>Miss Chievous Juniors Embellished Pleated C Black XS</t>
  </si>
  <si>
    <t>843561080124</t>
  </si>
  <si>
    <t>Miss Chievous Juniors Crochet-Trim Tie-Fron Marshmallow S</t>
  </si>
  <si>
    <t>JF5686W362</t>
  </si>
  <si>
    <t>887409049676</t>
  </si>
  <si>
    <t>Polly Esther Juniors Plaid Roll-Sleeve Shi GreenOlive S</t>
  </si>
  <si>
    <t>PW14034MC</t>
  </si>
  <si>
    <t>637677212643</t>
  </si>
  <si>
    <t>Belle Du Jour Juniors Lace-Trim Hoodie Tuni Red Plum L</t>
  </si>
  <si>
    <t>889901106208</t>
  </si>
  <si>
    <t>Hooked Up by IOT Juniors Santa Claus Hat Sca Santa Midnight ONE SIZE</t>
  </si>
  <si>
    <t>J62407</t>
  </si>
  <si>
    <t>889901106154</t>
  </si>
  <si>
    <t>Hooked Up by IOT Juniors Elf Hat Scarf Set Candy Cane ONE SIZE</t>
  </si>
  <si>
    <t>J62410</t>
  </si>
  <si>
    <t>705143714028</t>
  </si>
  <si>
    <t>Energie Active Juniors Fleece Vest an Wine Spacedye XS</t>
  </si>
  <si>
    <t>843561096163</t>
  </si>
  <si>
    <t>Miss Chievous Juniors Striped Rib-Knit Kang BlackWhite XL</t>
  </si>
  <si>
    <t>JA9180R40</t>
  </si>
  <si>
    <t>841060121300</t>
  </si>
  <si>
    <t>Hippie Rose Juniors Pullover Hoodie BrandywineIvory XL</t>
  </si>
  <si>
    <t>705143715087</t>
  </si>
  <si>
    <t>Energie Juniors Fiona Tulip-Back Grap Heather Grey M</t>
  </si>
  <si>
    <t>705143667157</t>
  </si>
  <si>
    <t>Energie Juniors Striped Pullover Top Caviar L</t>
  </si>
  <si>
    <t>695532481122</t>
  </si>
  <si>
    <t>Ultra Flirt Juniors Cowl-Neck Waffle-Knit Olive S</t>
  </si>
  <si>
    <t>695532481184</t>
  </si>
  <si>
    <t>Ultra Flirt Juniors Cowl-Neck Waffle-Knit Pale Blue M</t>
  </si>
  <si>
    <t>695532480927</t>
  </si>
  <si>
    <t>Ultra Flirt Juniors Cowl-Neck Waffle-Knit Black S</t>
  </si>
  <si>
    <t>706254751971</t>
  </si>
  <si>
    <t>DRAFT - juniors dump page Black L</t>
  </si>
  <si>
    <t>M6248NR212</t>
  </si>
  <si>
    <t>645545934702</t>
  </si>
  <si>
    <t>Material Girl Juniors Strappy Graphic Tank Heather Charcoal S</t>
  </si>
  <si>
    <t>645545953710</t>
  </si>
  <si>
    <t>Material Girl Juniors Graphic Racerback Tan Bright White XS</t>
  </si>
  <si>
    <t>637677171599</t>
  </si>
  <si>
    <t>Belle Du Jour Juniors V-Neck Necklace T-Shi Patriot Blue M</t>
  </si>
  <si>
    <t>0XJUNSBC</t>
  </si>
  <si>
    <t>705143708898</t>
  </si>
  <si>
    <t>Energie Juniors Likey Cutout Top Dot Floral L</t>
  </si>
  <si>
    <t>695532481924</t>
  </si>
  <si>
    <t>Ultra Flirt Juniors Rugby T-Shirt Dress Olive M</t>
  </si>
  <si>
    <t>645545954120</t>
  </si>
  <si>
    <t>Rebellious One Rebellious One Juniors Patche BlackHeather Grey S</t>
  </si>
  <si>
    <t>A2700JV1211</t>
  </si>
  <si>
    <t>887648661714</t>
  </si>
  <si>
    <t>Disney Juniors Disney Mickey Minni WhiteRed S</t>
  </si>
  <si>
    <t>MYSJU24-8K75</t>
  </si>
  <si>
    <t>887648661707</t>
  </si>
  <si>
    <t>Disney Juniors Disney Mickey Minni WhiteRed XS</t>
  </si>
  <si>
    <t>645545953888</t>
  </si>
  <si>
    <t>Rebellious One Rebellious One Juniors Patche NavyBlush S</t>
  </si>
  <si>
    <t>A2700JV1277</t>
  </si>
  <si>
    <t>190344363258</t>
  </si>
  <si>
    <t>Trolls by DreamWorks Juniors Trolls High-Low Graph White L</t>
  </si>
  <si>
    <t>190344542554</t>
  </si>
  <si>
    <t>Disney Juniors Disney Moana Stars Gr Heather Grey XS</t>
  </si>
  <si>
    <t>JS3646JDY4930</t>
  </si>
  <si>
    <t>190344362985</t>
  </si>
  <si>
    <t>Trolls by DreamWorks Juniors Trolls Graphic Raglan Soft Pink S</t>
  </si>
  <si>
    <t>821942424491</t>
  </si>
  <si>
    <t>Planet Gold Juniors Cold-Shoulder Shift D Black Beauty XS</t>
  </si>
  <si>
    <t>746194690237</t>
  </si>
  <si>
    <t>Rampage Juniors Drop-Shoulder Graphic Charcoal Grey Heather L</t>
  </si>
  <si>
    <t>645545952348</t>
  </si>
  <si>
    <t>Rebellious One Juniors Colorblock Graphic Tu Heather Grey Denim XS</t>
  </si>
  <si>
    <t>746194690091</t>
  </si>
  <si>
    <t>Rampage Juniors Drop-Shoulder Coffee Cloud Dancer M</t>
  </si>
  <si>
    <t>746194690107</t>
  </si>
  <si>
    <t>Rampage Juniors Drop-Shoulder Coffee Cloud Dancer L</t>
  </si>
  <si>
    <t>645545952355</t>
  </si>
  <si>
    <t>Rebellious One Juniors Colorblock Graphic Tu Heather Grey Denim S</t>
  </si>
  <si>
    <t>746194690510</t>
  </si>
  <si>
    <t>Rampage Juniors Drop-Shoulder Metalli Light Heather Grey S</t>
  </si>
  <si>
    <t>645545933002</t>
  </si>
  <si>
    <t>Material Girl Active Juniors Racerback Spor Heather Platinum XXS</t>
  </si>
  <si>
    <t>190371313486</t>
  </si>
  <si>
    <t>Bioworld Fantastic Beasts Juniors Newt White L</t>
  </si>
  <si>
    <t>190371313301</t>
  </si>
  <si>
    <t>Bioworld Juniors Fantastic Beasts MACU Black XS</t>
  </si>
  <si>
    <t>190371313462</t>
  </si>
  <si>
    <t>Bioworld Fantastic Beasts Juniors Newt White S</t>
  </si>
  <si>
    <t>705143603247</t>
  </si>
  <si>
    <t>Energie Juniors Scoop-Neck Top Bright White XS</t>
  </si>
  <si>
    <t>705143709086</t>
  </si>
  <si>
    <t>Energie Juniors Mila Printed V-Neck T Aztec Pop M</t>
  </si>
  <si>
    <t>821942425153</t>
  </si>
  <si>
    <t>Planet Gold Juniors Rib-Knit Cold-Shoulde Egret S</t>
  </si>
  <si>
    <t>705143701530</t>
  </si>
  <si>
    <t>Energie Energie Juniors Mila V-Neck T Boysenberry M</t>
  </si>
  <si>
    <t>705143709024</t>
  </si>
  <si>
    <t>Energie Energie Juniors Mila V-Neck T Inky Blue M</t>
  </si>
  <si>
    <t>821942362298</t>
  </si>
  <si>
    <t>Planet Gold Juniors Spaghetti-Strap Tank Jalapeno Red L</t>
  </si>
  <si>
    <t>821942362236</t>
  </si>
  <si>
    <t>Planet Gold Juniors Spaghetti-Strap Tank Kalamata M</t>
  </si>
  <si>
    <t>821942362328</t>
  </si>
  <si>
    <t>Planet Gold Juniors Spaghetti-Strap Tank Jalapeno Red XL</t>
  </si>
  <si>
    <t>637865189979</t>
  </si>
  <si>
    <t>Calvin Klein Jeans Single-Button Denim Blazer Rinse XL</t>
  </si>
  <si>
    <t>39373788871</t>
  </si>
  <si>
    <t>L/S FRONT CARDIGAN</t>
  </si>
  <si>
    <t>637865184448</t>
  </si>
  <si>
    <t>Calvin Klein Jeans Printed High-Low Shirt Marshmellow XS</t>
  </si>
  <si>
    <t>889775097770</t>
  </si>
  <si>
    <t>American Rag Trendy Plus Size Lace-Sleeve J Chilli Red 0X</t>
  </si>
  <si>
    <t>889775097732</t>
  </si>
  <si>
    <t>American Rag Trendy Plus Size Lace-Sleeve J Classic Black 0X</t>
  </si>
  <si>
    <t>889351477354</t>
  </si>
  <si>
    <t>BENTOTA J WVDR BPZ6</t>
  </si>
  <si>
    <t>ERJWD03099</t>
  </si>
  <si>
    <t>708008367902</t>
  </si>
  <si>
    <t>City Studios Juniors Sequin Lace Party Dre Gold 3</t>
  </si>
  <si>
    <t>889631050635</t>
  </si>
  <si>
    <t>Crystal Doll Juniors 2-Pc. Sequined Bodyco GoldIvory L</t>
  </si>
  <si>
    <t>659337687776</t>
  </si>
  <si>
    <t>Jump Juniors Cap-Sleeve Lace Sheat Raisin 34</t>
  </si>
  <si>
    <t>46534I</t>
  </si>
  <si>
    <t>889667734097</t>
  </si>
  <si>
    <t>ONeill Junie Crochet Peasant Dress Nude M</t>
  </si>
  <si>
    <t>HO6416027M</t>
  </si>
  <si>
    <t>829092255019</t>
  </si>
  <si>
    <t>IVBK 35" COLD SHOULDER CO</t>
  </si>
  <si>
    <t>9697RCC3</t>
  </si>
  <si>
    <t>842127107763</t>
  </si>
  <si>
    <t>American Rag Embroidered Lace Fit Flare D Classic Black XS</t>
  </si>
  <si>
    <t>829092277363</t>
  </si>
  <si>
    <t>886680013673</t>
  </si>
  <si>
    <t>Material Girl Juniors Flocked Bodycon Dress Black M</t>
  </si>
  <si>
    <t>713701112391</t>
  </si>
  <si>
    <t>Material Girl Juniors 2-Pc. Lace-Trim Slip Zinfandel Combo XS</t>
  </si>
  <si>
    <t>889351485557</t>
  </si>
  <si>
    <t>Roxy Juniors Squary Plaid Snap-Fro NavyWhite XS</t>
  </si>
  <si>
    <t>889351485533</t>
  </si>
  <si>
    <t>Roxy Juniors Squary Plaid Snap-Fro NavyWhite S</t>
  </si>
  <si>
    <t>887840220191</t>
  </si>
  <si>
    <t>Emerald Sundae Juniors Shine Sweetheart Body Royal Blue XS</t>
  </si>
  <si>
    <t>829092313795</t>
  </si>
  <si>
    <t>XOXO Juniors Natalie Fit Printed A Multi 78</t>
  </si>
  <si>
    <t>886680025836</t>
  </si>
  <si>
    <t>889775093628</t>
  </si>
  <si>
    <t>889237819513</t>
  </si>
  <si>
    <t>GREY LS COLD SHOULDER DRE</t>
  </si>
  <si>
    <t>I443904A13</t>
  </si>
  <si>
    <t>826410762402</t>
  </si>
  <si>
    <t>BCX Juniors Lace Cold-Shoulder Sh Black XXS</t>
  </si>
  <si>
    <t>822982507601</t>
  </si>
  <si>
    <t>Jessica Simpson Sandra Ponte-Knit Ankle-Zipper Heather Grey XS</t>
  </si>
  <si>
    <t>887863087184</t>
  </si>
  <si>
    <t>RED COLD SHOULDER, LEAST</t>
  </si>
  <si>
    <t>826422004392</t>
  </si>
  <si>
    <t>BCX Juniors Lace Bomber Jacket Off White S</t>
  </si>
  <si>
    <t>847250080099</t>
  </si>
  <si>
    <t>Material Girl Juniors Striped One-Shoulder Black Combo L</t>
  </si>
  <si>
    <t>713701116603</t>
  </si>
  <si>
    <t>713701116696</t>
  </si>
  <si>
    <t>791093382400</t>
  </si>
  <si>
    <t>SHIFT Juniors Plisse Cropped Wide- Black M</t>
  </si>
  <si>
    <t>791093382288</t>
  </si>
  <si>
    <t>SHIFT Juniors Crushed Velvet Slip D Silver XS</t>
  </si>
  <si>
    <t>791093382417</t>
  </si>
  <si>
    <t>SHIFT Juniors Plisse Cropped Wide- Black L</t>
  </si>
  <si>
    <t>784645265344</t>
  </si>
  <si>
    <t>Sequin Hearts Juniors Printed Off-The-Shoul Peach M</t>
  </si>
  <si>
    <t>784645265368</t>
  </si>
  <si>
    <t>Sequin Hearts Juniors Printed Off-The-Shoul Peach S</t>
  </si>
  <si>
    <t>889237846892</t>
  </si>
  <si>
    <t>As U Wish Juniors V-Neck Cold-Shoulder Bright Coral S</t>
  </si>
  <si>
    <t>889775079059</t>
  </si>
  <si>
    <t>CLAS BND OF FLWRS TNC</t>
  </si>
  <si>
    <t>P5HQ01CCKC</t>
  </si>
  <si>
    <t>886680013741</t>
  </si>
  <si>
    <t>Material Girl Juniors Metallic Lace Bodysui Misty Rose Combo M</t>
  </si>
  <si>
    <t>886680006170</t>
  </si>
  <si>
    <t>Material Girl Juniors Striped Velvet Pencil Black Combo XS</t>
  </si>
  <si>
    <t>889775072654</t>
  </si>
  <si>
    <t>ZINF TWL HIRSE ROLL SHORT</t>
  </si>
  <si>
    <t>889351230195</t>
  </si>
  <si>
    <t>829092317564</t>
  </si>
  <si>
    <t>XOXO Juniors Printed Off-the-Shoul Multi XS</t>
  </si>
  <si>
    <t>3554PGS8</t>
  </si>
  <si>
    <t>829092300849</t>
  </si>
  <si>
    <t>829092301129</t>
  </si>
  <si>
    <t>XOXO Juniors Velvet Chiffon-Contra Black L</t>
  </si>
  <si>
    <t>889775044552</t>
  </si>
  <si>
    <t>706256917900</t>
  </si>
  <si>
    <t>HUSTLE JACKET</t>
  </si>
  <si>
    <t>M61148</t>
  </si>
  <si>
    <t>886680007054</t>
  </si>
  <si>
    <t>Material Girl Juniors Rib-Knit Mock-Neck Bo Caviar Black XXS</t>
  </si>
  <si>
    <t>886680006033</t>
  </si>
  <si>
    <t>Material Girl Juniors Metallic Rib-Knit Lat Silver Combo XS</t>
  </si>
  <si>
    <t>768594155734</t>
  </si>
  <si>
    <t>889775093352</t>
  </si>
  <si>
    <t>889775093420</t>
  </si>
  <si>
    <t>889775093307</t>
  </si>
  <si>
    <t>889775090719</t>
  </si>
  <si>
    <t>889775109527</t>
  </si>
  <si>
    <t>American Rag Crocheted Tie-Front Peasant To Canyon Rose L</t>
  </si>
  <si>
    <t>6HK16CYR</t>
  </si>
  <si>
    <t>889775074382</t>
  </si>
  <si>
    <t>826409521225</t>
  </si>
  <si>
    <t>BLSH STRP CRW LCE SLV</t>
  </si>
  <si>
    <t>1095V22</t>
  </si>
  <si>
    <t>826409581625</t>
  </si>
  <si>
    <t>784645325857</t>
  </si>
  <si>
    <t>BK B GUT BUSTER LEGGING</t>
  </si>
  <si>
    <t>R1344VXRW</t>
  </si>
  <si>
    <t>889602138249</t>
  </si>
  <si>
    <t>Jessica Simpson Juniors Tie-Dyed Jogger Pants Jet Black Tie Dye XS</t>
  </si>
  <si>
    <t>826410944655</t>
  </si>
  <si>
    <t>826410944662</t>
  </si>
  <si>
    <t>888056306525</t>
  </si>
  <si>
    <t>Soprano Trendy Plus Size Cold-Shoulder Charcoal 1X</t>
  </si>
  <si>
    <t>XD15579LRA</t>
  </si>
  <si>
    <t>887043733764</t>
  </si>
  <si>
    <t>Celebrity Pink Juniors Skinny Jeans Spectra Yellow 0</t>
  </si>
  <si>
    <t>826410998924</t>
  </si>
  <si>
    <t>BCX Juniors Off-The-Shoulder Cris BlackBluePink XL</t>
  </si>
  <si>
    <t>106341A</t>
  </si>
  <si>
    <t>791093382165</t>
  </si>
  <si>
    <t>SHIFT Juniors Velvet Camisole Muave S</t>
  </si>
  <si>
    <t>791093382189</t>
  </si>
  <si>
    <t>SHIFT Juniors Velvet Camisole Muave L</t>
  </si>
  <si>
    <t>889901163652</t>
  </si>
  <si>
    <t>Hooked Up by IOT Juniors Shine Donuts Pullover Light Grey Heather M</t>
  </si>
  <si>
    <t>826410811155</t>
  </si>
  <si>
    <t>BCX Juniors Smocked Bell-Sleeve T Black S</t>
  </si>
  <si>
    <t>826410387278</t>
  </si>
  <si>
    <t>BCX Juniors Lace Midi Pencil Skir Black XS</t>
  </si>
  <si>
    <t>0044W39</t>
  </si>
  <si>
    <t>614015985452</t>
  </si>
  <si>
    <t>Rewash Juniors Printed Ruched Croppe Natural M</t>
  </si>
  <si>
    <t>J1354A71837</t>
  </si>
  <si>
    <t>889237819025</t>
  </si>
  <si>
    <t>NVY DRESS W/NECKLACE</t>
  </si>
  <si>
    <t>I465401A20</t>
  </si>
  <si>
    <t>190040349716</t>
  </si>
  <si>
    <t>Almost Famous Juniors Patch-Trim Tunic Bomb Black XS</t>
  </si>
  <si>
    <t>889602128721</t>
  </si>
  <si>
    <t>Freshman Juniors Sleeveless Cowl-Neck Honeysuckle Sun S</t>
  </si>
  <si>
    <t>190040349730</t>
  </si>
  <si>
    <t>Almost Famous Juniors Patch-Trim Tunic Bomb Black M</t>
  </si>
  <si>
    <t>190040349808</t>
  </si>
  <si>
    <t>Almost Famous Juniors Patch-Trim Tunic Bomb Light Heather Grey XL</t>
  </si>
  <si>
    <t>190040349778</t>
  </si>
  <si>
    <t>Almost Famous Juniors Patch-Trim Tunic Bomb Light Heather Grey S</t>
  </si>
  <si>
    <t>637677233396</t>
  </si>
  <si>
    <t>Belle Du Jour Juniors Cardigan, T-Shirt and Deep Merlot XS</t>
  </si>
  <si>
    <t>637677242657</t>
  </si>
  <si>
    <t>Belle Du Jour Juniors Cardigan, T-Shirt and Clover S</t>
  </si>
  <si>
    <t>637677233358</t>
  </si>
  <si>
    <t>Belle Du Jour Juniors Cardigan, T-Shirt and Patriot Blue S</t>
  </si>
  <si>
    <t>887863084725</t>
  </si>
  <si>
    <t>BCX Juniors Ruffle-Sleeve Cold-Sh Red S</t>
  </si>
  <si>
    <t>1046C63</t>
  </si>
  <si>
    <t>645545932418</t>
  </si>
  <si>
    <t>706257141168</t>
  </si>
  <si>
    <t>889775093512</t>
  </si>
  <si>
    <t>889775093505</t>
  </si>
  <si>
    <t>645545947238</t>
  </si>
  <si>
    <t>Rebellious One Juniors Sarcasm Coach Graphic Heather GreyNavy M</t>
  </si>
  <si>
    <t>887854091619</t>
  </si>
  <si>
    <t>Miss Chievous Juniors No Way Applique Pullo Wet Asphalt L</t>
  </si>
  <si>
    <t>JA9975F120</t>
  </si>
  <si>
    <t>645545947214</t>
  </si>
  <si>
    <t>Rebellious One Juniors Sarcasm Coach Graphic Heather GreyNavy XS</t>
  </si>
  <si>
    <t>887409061562</t>
  </si>
  <si>
    <t>887409061579</t>
  </si>
  <si>
    <t>887854079051</t>
  </si>
  <si>
    <t>Miss Chievous Juniors Crochet-Trim Cold-Sho Opal Grey S</t>
  </si>
  <si>
    <t>JM7015S317</t>
  </si>
  <si>
    <t>841060127821</t>
  </si>
  <si>
    <t>Hippie Rose Juniors Striped-Sleeve Pullov Grey Combo L</t>
  </si>
  <si>
    <t>H7S0113M</t>
  </si>
  <si>
    <t>887409060718</t>
  </si>
  <si>
    <t>Polly Esther Juniors Plaid Button-Front Sh RedBlack M</t>
  </si>
  <si>
    <t>826410409475</t>
  </si>
  <si>
    <t>889602143632</t>
  </si>
  <si>
    <t>Freshman Juniors Cloud Chaser Rib-Knit Light Heather Grey S</t>
  </si>
  <si>
    <t>637677212322</t>
  </si>
  <si>
    <t>Belle Du Jour Juniors Explore Metallic Grap Heather Grey XS</t>
  </si>
  <si>
    <t>1BCVNSTJ</t>
  </si>
  <si>
    <t>645545917132</t>
  </si>
  <si>
    <t>645545932807</t>
  </si>
  <si>
    <t>Material Girl Juniors Graphic Tank Top Bright White XL</t>
  </si>
  <si>
    <t>M61236</t>
  </si>
  <si>
    <t>695532512369</t>
  </si>
  <si>
    <t>Ultra Flirt Juniors Varsity Top BlackWhite M</t>
  </si>
  <si>
    <t>706256917771</t>
  </si>
  <si>
    <t>887409062095</t>
  </si>
  <si>
    <t>Polly Esther Juniors Plaid Roll-Tab Shirt OliveBlack S</t>
  </si>
  <si>
    <t>887409062118</t>
  </si>
  <si>
    <t>Polly Esther Juniors Plaid Roll-Tab Shirt OliveBlack L</t>
  </si>
  <si>
    <t>716068580803</t>
  </si>
  <si>
    <t>716068580810</t>
  </si>
  <si>
    <t>716068580865</t>
  </si>
  <si>
    <t>887648705463</t>
  </si>
  <si>
    <t>Freeze 24-7 Juniors Graphic T-Shirt True Black S</t>
  </si>
  <si>
    <t>JQSJC90-9K91</t>
  </si>
  <si>
    <t>887648705418</t>
  </si>
  <si>
    <t>Freeze 24-7 Juniors Where Da Wifi At Grap Light Blue M</t>
  </si>
  <si>
    <t>JTSJQ21-9K91</t>
  </si>
  <si>
    <t>645545959828</t>
  </si>
  <si>
    <t>645545959897</t>
  </si>
  <si>
    <t>887648705470</t>
  </si>
  <si>
    <t>Freeze 24-7 Juniors Graphic T-Shirt True Black M</t>
  </si>
  <si>
    <t>889775070216</t>
  </si>
  <si>
    <t>American Rag Charlie Wash Ripped Skinny Jea Charlie Wash 1</t>
  </si>
  <si>
    <t>889775069159</t>
  </si>
  <si>
    <t>American Rag Slim-Fit Ishana Wash Bootcut J Kremi Wash 1</t>
  </si>
  <si>
    <t>889775088433</t>
  </si>
  <si>
    <t>American Rag Slim-Fit Ishana Wash Bootcut J Puma Wash 1</t>
  </si>
  <si>
    <t>829092299266</t>
  </si>
  <si>
    <t>XOXO Juniors Wide-Leg Trousers White 34</t>
  </si>
  <si>
    <t>826409495755</t>
  </si>
  <si>
    <t>BCX Juniors High-Low Layered-Look Bordeaux L</t>
  </si>
  <si>
    <t>886680024358</t>
  </si>
  <si>
    <t>American Rag Floral-Print Peasant Top Classic Black XS</t>
  </si>
  <si>
    <t>FTW7252AR</t>
  </si>
  <si>
    <t>746194692064</t>
  </si>
  <si>
    <t>Material Girl Juniors Flocked Mesh Bodysuit Zinfandel M</t>
  </si>
  <si>
    <t>841413126600</t>
  </si>
  <si>
    <t>OhMG Juniors Southwest Asymmetrica NavySlate M</t>
  </si>
  <si>
    <t>841413126457</t>
  </si>
  <si>
    <t>OhMG Juniors Southwest Asymmetrica BlackWhite M</t>
  </si>
  <si>
    <t>J6465AVB863</t>
  </si>
  <si>
    <t>6AA84MC</t>
  </si>
  <si>
    <t>887043628404</t>
  </si>
  <si>
    <t>Celebrity Pink Juniors Skinny Ponte Pants Olive Night 0</t>
  </si>
  <si>
    <t>746194687206</t>
  </si>
  <si>
    <t>Material Girl Juniors Cap-Sleeve Bodysuit Black XL</t>
  </si>
  <si>
    <t>695532480873</t>
  </si>
  <si>
    <t>Ultra Flirt Juniors Sleeveless Mock-Neck Wine Tasting S</t>
  </si>
  <si>
    <t>K632H3501M</t>
  </si>
  <si>
    <t>705143717050</t>
  </si>
  <si>
    <t>Energie Juniors Laser-Cut Sporty Tank Black XS</t>
  </si>
  <si>
    <t>705143713823</t>
  </si>
  <si>
    <t>Energie Active Juniors Fleece Vest an Grey Space DyeCaviar S</t>
  </si>
  <si>
    <t>190040298922</t>
  </si>
  <si>
    <t>Almost Famous Juniors Ribbed-Panel Button-D Navy XL</t>
  </si>
  <si>
    <t>705143603230</t>
  </si>
  <si>
    <t>Energie Juniors Scoop-Neck Top Bright White XL</t>
  </si>
  <si>
    <t>PB2156AR</t>
  </si>
  <si>
    <t>RUBY 3/4 SLV BODY CONFORM</t>
  </si>
  <si>
    <t>MDP12843I</t>
  </si>
  <si>
    <t>SLV HGH NKC STRP SWT</t>
  </si>
  <si>
    <t>7TS41</t>
  </si>
  <si>
    <t>746194693511</t>
  </si>
  <si>
    <t>Material Girl Juniors Illusion Dot Bodysuit Egret L</t>
  </si>
  <si>
    <t>826410998887</t>
  </si>
  <si>
    <t>BCX Juniors Off-The-Shoulder Cris BlackBluePink XS</t>
  </si>
  <si>
    <t>889901163690</t>
  </si>
  <si>
    <t>Hooked Up by IOT Juniors Sequin Owl Pullover S Oatmeal Heather S</t>
  </si>
  <si>
    <t>841060128422</t>
  </si>
  <si>
    <t>Hippie Rose Juniors Open-Front Duster Car Olive L</t>
  </si>
  <si>
    <t>H7S0153</t>
  </si>
  <si>
    <t>889602128738</t>
  </si>
  <si>
    <t>Freshman Juniors Sleeveless Cowl-Neck Honeysuckle Sun M</t>
  </si>
  <si>
    <t>841060128187</t>
  </si>
  <si>
    <t>Hippie Rose Juniors Striped Sweater Dry Olive XL</t>
  </si>
  <si>
    <t>H7S0152</t>
  </si>
  <si>
    <t>889602128677</t>
  </si>
  <si>
    <t>Freshman Juniors Sleeveless Cowl-Neck Fleur De Lis S</t>
  </si>
  <si>
    <t>TROLLS PATCHES</t>
  </si>
  <si>
    <t>TJSJ098-8K78</t>
  </si>
  <si>
    <t>841060127197</t>
  </si>
  <si>
    <t>Hippie Rose Juniors Velour Jogger Pants Medium Heather Grey XS</t>
  </si>
  <si>
    <t>887648561045</t>
  </si>
  <si>
    <t>33R12MC</t>
  </si>
  <si>
    <t>758315038002</t>
  </si>
  <si>
    <t>Freeze 24-7 Juniors Selfie Graphic Sweats Black M</t>
  </si>
  <si>
    <t>JTSJN97-8J74</t>
  </si>
  <si>
    <t>758315038040</t>
  </si>
  <si>
    <t>Freeze 24-7 Juniors Selfie Graphic Sweats Black XL</t>
  </si>
  <si>
    <t>887648678446</t>
  </si>
  <si>
    <t>Freeze 24-7 Juniors Marilyn Monroe Graphi Grey Heather S</t>
  </si>
  <si>
    <t>PESJ713-8J74</t>
  </si>
  <si>
    <t>841060127456</t>
  </si>
  <si>
    <t>Hippie Rose Juniors Striped-Sleeve Top Black Combo S</t>
  </si>
  <si>
    <t>H7S0151</t>
  </si>
  <si>
    <t>645545964624</t>
  </si>
  <si>
    <t>Rebellious One Juniors Nap Team Graphic Hood Navy XL</t>
  </si>
  <si>
    <t>IA4455FX7039</t>
  </si>
  <si>
    <t>841060127524</t>
  </si>
  <si>
    <t>Hippie Rose Juniors Striped-Sleeve Top Ivory Combo L</t>
  </si>
  <si>
    <t>645545964587</t>
  </si>
  <si>
    <t>Rebellious One Juniors Nap Team Graphic Hood Navy XS</t>
  </si>
  <si>
    <t>645545964594</t>
  </si>
  <si>
    <t>Rebellious One Juniors Nap Team Graphic Hood Navy S</t>
  </si>
  <si>
    <t>645545964662</t>
  </si>
  <si>
    <t>Rebellious One Juniors Seriously Cannot Grap Burgundy M</t>
  </si>
  <si>
    <t>IA4455FX6739</t>
  </si>
  <si>
    <t>645545964778</t>
  </si>
  <si>
    <t>Rebellious One Juniors Rainbow Emoji Hoodie Grey S</t>
  </si>
  <si>
    <t>IA4563FV1281</t>
  </si>
  <si>
    <t>645545964600</t>
  </si>
  <si>
    <t>Rebellious One Juniors Nap Team Graphic Hood Navy M</t>
  </si>
  <si>
    <t>841060127609</t>
  </si>
  <si>
    <t>Hippie Rose Juniors Striped-Sleeve Top Santa Fe Red Combo S</t>
  </si>
  <si>
    <t>GJ1282JR</t>
  </si>
  <si>
    <t>NQSJV81-8J74</t>
  </si>
  <si>
    <t>NQSJM75-8J74</t>
  </si>
  <si>
    <t>ZM7008-5484-0023-MC</t>
  </si>
  <si>
    <t>190121212441</t>
  </si>
  <si>
    <t>Mighty Fine Juniors Pokemon Pikachu Grap Black S</t>
  </si>
  <si>
    <t>F2701AWU1-MACY</t>
  </si>
  <si>
    <t>695532512277</t>
  </si>
  <si>
    <t>Ultra Flirt Juniors Cold-Shoulder Top Garnet L</t>
  </si>
  <si>
    <t>3D318MC</t>
  </si>
  <si>
    <t>695532512338</t>
  </si>
  <si>
    <t>Ultra Flirt Juniors Cold-Shoulder Top Olive XL</t>
  </si>
  <si>
    <t>695532512314</t>
  </si>
  <si>
    <t>Ultra Flirt Juniors Cold-Shoulder Top Olive M</t>
  </si>
  <si>
    <t>F2714IFK1-MACY</t>
  </si>
  <si>
    <t>190121216388</t>
  </si>
  <si>
    <t>Mighty Fine Juniors Pokemon Graphic Baseb Heather Grey L</t>
  </si>
  <si>
    <t>F2703ICD1-MACY</t>
  </si>
  <si>
    <t>190121222655</t>
  </si>
  <si>
    <t>Mighty Fine Juniors Graphic T-Shirt Navyoff White S</t>
  </si>
  <si>
    <t>F2713ICB1-MACY</t>
  </si>
  <si>
    <t>190121216289</t>
  </si>
  <si>
    <t>Mighty Fine Juniors Graphic T-Shirt Charcoal L</t>
  </si>
  <si>
    <t>F2706ICB1-MACY</t>
  </si>
  <si>
    <t>887648705425</t>
  </si>
  <si>
    <t>Freeze 24-7 Juniors Where Da Wifi At Grap Light Blue L</t>
  </si>
  <si>
    <t>F2697ICW1-MACY</t>
  </si>
  <si>
    <t>822982511622</t>
  </si>
  <si>
    <t>Jessica Simpson Lace-Up Off-The-Shoulder Sweat Biking Red M</t>
  </si>
  <si>
    <t>889775090382</t>
  </si>
  <si>
    <t>American Rag Embellished Cold-Shoulder Peas Teal XXS</t>
  </si>
  <si>
    <t>713701112537</t>
  </si>
  <si>
    <t>Material Girl Juniors Lace-Detail Pencil Sk Black Combo XS</t>
  </si>
  <si>
    <t>746194687473</t>
  </si>
  <si>
    <t>Material Girl Juniors Flocked Mesh Bodysuit Black M</t>
  </si>
  <si>
    <t>826410017175</t>
  </si>
  <si>
    <t>BCX BCX Juniors Asymmetrical Butt Black 11</t>
  </si>
  <si>
    <t>4058R9C</t>
  </si>
  <si>
    <t>887069551427</t>
  </si>
  <si>
    <t>Material Girl Juniors Pull-On Faux-Leather Caviar Black XL</t>
  </si>
  <si>
    <t>843561096149</t>
  </si>
  <si>
    <t>Miss Chievous Juniors Striped Rib-Knit Kang BlackWhite M</t>
  </si>
  <si>
    <t>190040298892</t>
  </si>
  <si>
    <t>Almost Famous Juniors Ribbed-Panel Button-D Navy S</t>
  </si>
  <si>
    <t>190344361933</t>
  </si>
  <si>
    <t>Trolls by DreamWorks Juniors Trolls Heart Graphic Purple M</t>
  </si>
  <si>
    <t>0XWJNSNU</t>
  </si>
  <si>
    <t>M6913BW212</t>
  </si>
  <si>
    <t>645545952492</t>
  </si>
  <si>
    <t>Rebellious One Juniors Colorblock Graphic Tu White Dust L</t>
  </si>
  <si>
    <t>821942425139</t>
  </si>
  <si>
    <t>Planet Gold Juniors Rib-Knit Cold-Shoulde Egret L</t>
  </si>
  <si>
    <t>821942425061</t>
  </si>
  <si>
    <t>Planet Gold Juniors Rib-Knit Cold-Shoulde Black XL</t>
  </si>
  <si>
    <t>695532441225</t>
  </si>
  <si>
    <t>Ultra Flirt Juniors Printed Leggings Instanbul Tile M</t>
  </si>
  <si>
    <t>695532441010</t>
  </si>
  <si>
    <t>Ultra Flirt Juniors Printed Leggings Demascus Diamond S</t>
  </si>
  <si>
    <t>D66591DNE</t>
  </si>
  <si>
    <t>6HW84</t>
  </si>
  <si>
    <t>842127107855</t>
  </si>
  <si>
    <t>American Rag Embroidered Lace Fit Flare D Chilli Pepper S</t>
  </si>
  <si>
    <t>886680025799</t>
  </si>
  <si>
    <t>887863087191</t>
  </si>
  <si>
    <t>826422004415</t>
  </si>
  <si>
    <t>BCX Juniors Lace Bomber Jacket Off White L</t>
  </si>
  <si>
    <t>889237815959</t>
  </si>
  <si>
    <t>As U Wish Juniors Bodycon Dress with Ne Black S</t>
  </si>
  <si>
    <t>889775093437</t>
  </si>
  <si>
    <t>889775093284</t>
  </si>
  <si>
    <t>104426J</t>
  </si>
  <si>
    <t>841060128279</t>
  </si>
  <si>
    <t>Hippie Rose Juniors Open-Front Duster Car Black L</t>
  </si>
  <si>
    <t>190040312383</t>
  </si>
  <si>
    <t>Almost Famous Juniors Striped Fringe Waterf SagePink XS</t>
  </si>
  <si>
    <t>JTSJW34-8J74</t>
  </si>
  <si>
    <t>706256894959</t>
  </si>
  <si>
    <t>INC International Concepts Pique Dress with Bow Ballet Pink 4</t>
  </si>
  <si>
    <t>190344631098</t>
  </si>
  <si>
    <t>Disney Juniors Disney Mickey Mouse G Heather Grey M</t>
  </si>
  <si>
    <t>18000JDY5100</t>
  </si>
  <si>
    <t>SP20084MAC</t>
  </si>
  <si>
    <t>695532488039</t>
  </si>
  <si>
    <t>Ultra Flirt Juniors Cowl-Neck Tunic Top Oatmeal Heather Marl S</t>
  </si>
  <si>
    <t>645545947245</t>
  </si>
  <si>
    <t>Rebellious One Juniors Sarcasm Coach Graphic Heather GreyNavy L</t>
  </si>
  <si>
    <t>887648678477</t>
  </si>
  <si>
    <t>Freeze 24-7 Juniors Marilyn Monroe Graphi Grey Heather XL</t>
  </si>
  <si>
    <t>758315037968</t>
  </si>
  <si>
    <t>Freeze 24-7 Juniors Selfie Graphic Sweats Black S</t>
  </si>
  <si>
    <t>887648678439</t>
  </si>
  <si>
    <t>Freeze 24-7 Juniors Marilyn Monroe Graphi Grey Heather XS</t>
  </si>
  <si>
    <t>841060127777</t>
  </si>
  <si>
    <t>Hippie Rose Juniors Striped-Sleeve Pullov Dixie Combo L</t>
  </si>
  <si>
    <t>IA4563FV1211</t>
  </si>
  <si>
    <t>645545964655</t>
  </si>
  <si>
    <t>Rebellious One Juniors Seriously Cannot Grap Burgundy S</t>
  </si>
  <si>
    <t>695532512260</t>
  </si>
  <si>
    <t>Ultra Flirt Juniors Cold-Shoulder Top Garnet M</t>
  </si>
  <si>
    <t>695532512222</t>
  </si>
  <si>
    <t>Ultra Flirt Juniors Cold-Shoulder Top BlackWhite Stripe L</t>
  </si>
  <si>
    <t>F2717IFL1-MACY</t>
  </si>
  <si>
    <t>190121216258</t>
  </si>
  <si>
    <t>Mighty Fine Juniors Graphic T-Shirt Charcoal XS</t>
  </si>
  <si>
    <t>190121216272</t>
  </si>
  <si>
    <t>Mighty Fine Juniors Graphic T-Shirt Charcoal M</t>
  </si>
  <si>
    <t>M1858/REGENCY BRANDS LLC</t>
  </si>
  <si>
    <t>3186QJ9AT3</t>
  </si>
  <si>
    <t>889775030982</t>
  </si>
  <si>
    <t>American Rag Juniors Hooded Pullover Sweat Biking RedBlue Combo XXS</t>
  </si>
  <si>
    <t>829092281070</t>
  </si>
  <si>
    <t>XOXO Juniors Off-The-Shoulder Swea BlackIvory S</t>
  </si>
  <si>
    <t>713701112551</t>
  </si>
  <si>
    <t>Material Girl Juniors Lace-Detail Pencil Sk Black Combo M</t>
  </si>
  <si>
    <t>826409524714</t>
  </si>
  <si>
    <t>BCX Juniors Lace-Up Cowl-Neck Swe White L</t>
  </si>
  <si>
    <t>20162EC204</t>
  </si>
  <si>
    <t>695532440266</t>
  </si>
  <si>
    <t>Ultra Flirt Juniors Striped Mitered-Hem T TawnyBlack S</t>
  </si>
  <si>
    <t>695532440211</t>
  </si>
  <si>
    <t>Ultra Flirt Juniors Striped Mitered-Hem T BlackWhite S</t>
  </si>
  <si>
    <t>695532440310</t>
  </si>
  <si>
    <t>Ultra Flirt Juniors Striped Mitered-Hem T BurgundyGold S</t>
  </si>
  <si>
    <t>889602111723</t>
  </si>
  <si>
    <t>Jessica Simpson Logo Foil Graphic Jogger Pants Black Combo M</t>
  </si>
  <si>
    <t>887069475167</t>
  </si>
  <si>
    <t>Pink Rose Juniors Ruched-Side Fine-Gaug Blue Topaz S</t>
  </si>
  <si>
    <t>190344362084</t>
  </si>
  <si>
    <t>Trolls by DreamWorks Juniors Trolls Super-Soft Gra White M</t>
  </si>
  <si>
    <t>695532486974</t>
  </si>
  <si>
    <t>Ultra Flirt Juniors Waffle-Knit Stripe-Sl GardeniaHeather Peacoat M</t>
  </si>
  <si>
    <t>637865189955</t>
  </si>
  <si>
    <t>Calvin Klein Jeans Single-Button Denim Blazer Rinse M</t>
  </si>
  <si>
    <t>889775134260</t>
  </si>
  <si>
    <t>American Rag Trendy Plus Size Babydoll Peas Eclipse 3X</t>
  </si>
  <si>
    <t>P7TQ52</t>
  </si>
  <si>
    <t>847250080105</t>
  </si>
  <si>
    <t>Material Girl Juniors Striped One-Shoulder Black Combo XL</t>
  </si>
  <si>
    <t>884630083813</t>
  </si>
  <si>
    <t>Monteau Trendy Plus Size Scalloped Fit Red 2X</t>
  </si>
  <si>
    <t>614015986572</t>
  </si>
  <si>
    <t>Rewash Juniors Embroidered Colored S Coral 9</t>
  </si>
  <si>
    <t>RP2077Q4QV</t>
  </si>
  <si>
    <t>841907136801</t>
  </si>
  <si>
    <t>Indigo Rein Juniors Ripped Yandle Wash Sk Yandle Wash 9</t>
  </si>
  <si>
    <t>AN5462C1MZ</t>
  </si>
  <si>
    <t>889602138003</t>
  </si>
  <si>
    <t>Jessica Simpson Juniors Tie-Dyed Half-Zip Jac Blue Tie Dye S</t>
  </si>
  <si>
    <t>3K31556MC</t>
  </si>
  <si>
    <t>AS-3235ME</t>
  </si>
  <si>
    <t>826410944631</t>
  </si>
  <si>
    <t>J6465AVB815</t>
  </si>
  <si>
    <t>841060128040</t>
  </si>
  <si>
    <t>Hippie Rose Juniors Striped Sweater BlackIvory XS</t>
  </si>
  <si>
    <t>841060128057</t>
  </si>
  <si>
    <t>Hippie Rose Juniors Striped Sweater BlackIvory S</t>
  </si>
  <si>
    <t>887648561014</t>
  </si>
  <si>
    <t>841060126817</t>
  </si>
  <si>
    <t>Hippie Rose Juniors Velour Flare-Leg Pant Spicy Sangria M</t>
  </si>
  <si>
    <t>SP1286MAC</t>
  </si>
  <si>
    <t>190344631081</t>
  </si>
  <si>
    <t>Disney Juniors Disney Mickey Mouse G Heather Grey S</t>
  </si>
  <si>
    <t>JM7014S299</t>
  </si>
  <si>
    <t>JA9612B306</t>
  </si>
  <si>
    <t>JL3197JPNT1256</t>
  </si>
  <si>
    <t>645545964617</t>
  </si>
  <si>
    <t>Rebellious One Juniors Nap Team Graphic Hood Navy L</t>
  </si>
  <si>
    <t>645545964648</t>
  </si>
  <si>
    <t>Rebellious One Juniors Seriously Cannot Grap Burgundy XS</t>
  </si>
  <si>
    <t>645545964792</t>
  </si>
  <si>
    <t>Rebellious One Juniors Rainbow Emoji Hoodie Grey L</t>
  </si>
  <si>
    <t>645545964785</t>
  </si>
  <si>
    <t>Rebellious One Juniors Rainbow Emoji Hoodie Grey M</t>
  </si>
  <si>
    <t>841060127753</t>
  </si>
  <si>
    <t>Hippie Rose Juniors Striped-Sleeve Pullov Dixie Combo S</t>
  </si>
  <si>
    <t>843561072358</t>
  </si>
  <si>
    <t>Miss Chievous Juniors Weathered Sweatshirt Dark Cilantro L</t>
  </si>
  <si>
    <t>619720936737</t>
  </si>
  <si>
    <t>Be Bop Juniors Lace-Trim Lattice Top Slate Blue XL</t>
  </si>
  <si>
    <t>758315063363</t>
  </si>
  <si>
    <t>Freeze 24-7 Juniors Graphic T-Shirt Light Grey L</t>
  </si>
  <si>
    <t>190121212267</t>
  </si>
  <si>
    <t>Mighty Fine Juniors Pokemon Pikachu Grap Heather Grey L</t>
  </si>
  <si>
    <t>F2702AWU1-MACY</t>
  </si>
  <si>
    <t>190121212434</t>
  </si>
  <si>
    <t>Mighty Fine Juniors Pokemon Pikachu Grap Black XS</t>
  </si>
  <si>
    <t>F2691AWU1-MACY</t>
  </si>
  <si>
    <t>705143719627</t>
  </si>
  <si>
    <t>Energie Juniors Santi Printed Strappy Legion Blue XS</t>
  </si>
  <si>
    <t>695532512307</t>
  </si>
  <si>
    <t>Ultra Flirt Juniors Cold-Shoulder Top Olive S</t>
  </si>
  <si>
    <t>695532512246</t>
  </si>
  <si>
    <t>Ultra Flirt Juniors Cold-Shoulder Top Garnet XS</t>
  </si>
  <si>
    <t>695532512253</t>
  </si>
  <si>
    <t>Ultra Flirt Juniors Cold-Shoulder Top Garnet S</t>
  </si>
  <si>
    <t>645545973763</t>
  </si>
  <si>
    <t>OLIV I WOKE UP LIKE THISOL</t>
  </si>
  <si>
    <t>IA2756JX4358</t>
  </si>
  <si>
    <t>F2693ICD1A-MACY</t>
  </si>
  <si>
    <t>190121212229</t>
  </si>
  <si>
    <t>Mighty Fine Juniors Peace Graphic Raglan Creamred XL</t>
  </si>
  <si>
    <t>190121216371</t>
  </si>
  <si>
    <t>Mighty Fine Juniors Pokemon Graphic Baseb Heather Grey M</t>
  </si>
  <si>
    <t>190121216364</t>
  </si>
  <si>
    <t>Mighty Fine Juniors Pokemon Graphic Baseb Heather Grey S</t>
  </si>
  <si>
    <t>706256723617</t>
  </si>
  <si>
    <t>DRAFT - juniors dump page Space Dye XXS</t>
  </si>
  <si>
    <t>04FAAJPR</t>
  </si>
  <si>
    <t>637677263584</t>
  </si>
  <si>
    <t>Belle Du Jour Juniors Crisscross V-Neck Hig Beet Red M</t>
  </si>
  <si>
    <t>IA2858J963</t>
  </si>
  <si>
    <t>1DCLNTCE</t>
  </si>
  <si>
    <t>DHSJQ98-8K23</t>
  </si>
  <si>
    <t>889775070261</t>
  </si>
  <si>
    <t>American Rag Charlie Wash Ripped Skinny Jea Charlie Wash 11</t>
  </si>
  <si>
    <t>601350864559</t>
  </si>
  <si>
    <t>Speechless Juniors Lace-Bodice Cutout A- Black 9</t>
  </si>
  <si>
    <t>5887S301</t>
  </si>
  <si>
    <t>77646APMV</t>
  </si>
  <si>
    <t>RJ11255</t>
  </si>
  <si>
    <t>695532475695</t>
  </si>
  <si>
    <t>Ultra Flirt Juniors Extra Fries Fine-Gaug Black S</t>
  </si>
  <si>
    <t>705143716954</t>
  </si>
  <si>
    <t>Energie Juniors Laser-Cut Sporty Tank June Bug L</t>
  </si>
  <si>
    <t>190040298908</t>
  </si>
  <si>
    <t>Almost Famous Juniors Ribbed-Panel Button-D Navy M</t>
  </si>
  <si>
    <t>190344240085</t>
  </si>
  <si>
    <t>Hybrid Juniors Clueless Graphic T-Sh Heather Grey M</t>
  </si>
  <si>
    <t>QE1048YK1753</t>
  </si>
  <si>
    <t>STRP LS TULIP ROMPER</t>
  </si>
  <si>
    <t>70104MG</t>
  </si>
  <si>
    <t>MKI8269I</t>
  </si>
  <si>
    <t>1110T83</t>
  </si>
  <si>
    <t>791093382448</t>
  </si>
  <si>
    <t>SHIFT Juniors Metallic Lace-Trim Dr BlackSilver S</t>
  </si>
  <si>
    <t>METALLIC LOVE JACKET</t>
  </si>
  <si>
    <t>M61147</t>
  </si>
  <si>
    <t>STRIPE TERRY SHORT</t>
  </si>
  <si>
    <t>7TN25</t>
  </si>
  <si>
    <t>RJ11126</t>
  </si>
  <si>
    <t>784645228837</t>
  </si>
  <si>
    <t>REWIND Juniors Techno Tuck Blue Wash Indigo 3</t>
  </si>
  <si>
    <t>CJ21378SS</t>
  </si>
  <si>
    <t>887043730305</t>
  </si>
  <si>
    <t>Celebrity Pink Juniors Body Sculpt The Lifte Good Vibes 0</t>
  </si>
  <si>
    <t>841060128408</t>
  </si>
  <si>
    <t>Hippie Rose Juniors Open-Front Duster Car Olive S</t>
  </si>
  <si>
    <t>190040312222</t>
  </si>
  <si>
    <t>Almost Famous Juniors Striped Fringe Waterf BlackRed M</t>
  </si>
  <si>
    <t>841060128415</t>
  </si>
  <si>
    <t>Hippie Rose Juniors Open-Front Duster Car Olive M</t>
  </si>
  <si>
    <t>841060128071</t>
  </si>
  <si>
    <t>Hippie Rose Juniors Striped Sweater BlackIvory L</t>
  </si>
  <si>
    <t>841060128125</t>
  </si>
  <si>
    <t>Hippie Rose Juniors Striped Sweater Bandana BlueIvory L</t>
  </si>
  <si>
    <t>637677242800</t>
  </si>
  <si>
    <t>Belle Du Jour Juniors Cardigan, T-Shirt and Black L</t>
  </si>
  <si>
    <t>1DDYNSXV</t>
  </si>
  <si>
    <t>841060126824</t>
  </si>
  <si>
    <t>Hippie Rose Juniors Velour Flare-Leg Pant Spicy Sangria L</t>
  </si>
  <si>
    <t>841060127128</t>
  </si>
  <si>
    <t>Hippie Rose Juniors Velour Flare-Leg Pant Black L</t>
  </si>
  <si>
    <t>706256923581</t>
  </si>
  <si>
    <t>Material Girl Juniors Workout Graphic Yoga Black S</t>
  </si>
  <si>
    <t>M61129</t>
  </si>
  <si>
    <t>887648678460</t>
  </si>
  <si>
    <t>Freeze 24-7 Juniors Marilyn Monroe Graphi Grey Heather L</t>
  </si>
  <si>
    <t>695532487896</t>
  </si>
  <si>
    <t>Ultra Flirt Juniors Cowl-Neck Tunic Top CharcoalNatural Marl M</t>
  </si>
  <si>
    <t>695532488121</t>
  </si>
  <si>
    <t>Ultra Flirt Juniors Cowl-Neck Tunic Top Tawny PortNatural Marl XS</t>
  </si>
  <si>
    <t>695532487872</t>
  </si>
  <si>
    <t>Ultra Flirt Juniors Cowl-Neck Tunic Top CharcoalNatural Marl XS</t>
  </si>
  <si>
    <t>695532488138</t>
  </si>
  <si>
    <t>Ultra Flirt Juniors Cowl-Neck Tunic Top Tawny PortNatural Marl S</t>
  </si>
  <si>
    <t>887648678453</t>
  </si>
  <si>
    <t>Freeze 24-7 Juniors Marilyn Monroe Graphi Grey Heather M</t>
  </si>
  <si>
    <t>887854079358</t>
  </si>
  <si>
    <t>Miss Chievous Juniors Crochet-Trim Cold-Sho Port Royal L</t>
  </si>
  <si>
    <t>885779658955</t>
  </si>
  <si>
    <t>Vanilla Star Juniors Pull-On Mars Wash Ski Mars 5</t>
  </si>
  <si>
    <t>705143717340</t>
  </si>
  <si>
    <t>Energie Juniors Claire Striped Colorb Heather Grey XL</t>
  </si>
  <si>
    <t>705143717357</t>
  </si>
  <si>
    <t>Energie Juniors Claire Striped Colorb Heather Grey XS</t>
  </si>
  <si>
    <t>887854078061</t>
  </si>
  <si>
    <t>Miss Chievous Juniors Weathered Sweatshirt Charcoal Grey XS</t>
  </si>
  <si>
    <t>190121212458</t>
  </si>
  <si>
    <t>Mighty Fine Juniors Pokemon Pikachu Grap Black M</t>
  </si>
  <si>
    <t>695532512154</t>
  </si>
  <si>
    <t>Ultra Flirt Juniors Cold-Shoulder Top Black S</t>
  </si>
  <si>
    <t>695532512161</t>
  </si>
  <si>
    <t>Ultra Flirt Juniors Cold-Shoulder Top Black M</t>
  </si>
  <si>
    <t>190344637762</t>
  </si>
  <si>
    <t>Disney Juniors Stitch Graphic Bodysu Heather GreyBlack M</t>
  </si>
  <si>
    <t>JO5072JDY5282</t>
  </si>
  <si>
    <t>190121222242</t>
  </si>
  <si>
    <t>Mighty Fine Juniors Star Wars Graphic T-S Burgundy L</t>
  </si>
  <si>
    <t>H7S0149M</t>
  </si>
  <si>
    <t>887648705289</t>
  </si>
  <si>
    <t>Disney Juniors Under The Sea Graphic Mint Green S</t>
  </si>
  <si>
    <t>887648705456</t>
  </si>
  <si>
    <t>Freeze 24-7 Juniors Graphic T-Shirt True Black XS</t>
  </si>
  <si>
    <t>WVSJ064-8K23</t>
  </si>
  <si>
    <t>889775069616</t>
  </si>
  <si>
    <t>American Rag Colored Wash Super-Skinny Jean Olive 7</t>
  </si>
  <si>
    <t>888825381838</t>
  </si>
  <si>
    <t>Material Girl Juniors Lace-Panel Skater Dre Zinfandel L</t>
  </si>
  <si>
    <t>GDA031SZN</t>
  </si>
  <si>
    <t>706256894805</t>
  </si>
  <si>
    <t>Material Girl Active Juniors Metallic Zip H Gold Metallic XXS</t>
  </si>
  <si>
    <t>841413126563</t>
  </si>
  <si>
    <t>OhMG Juniors Southwest Asymmetrica Medium Grey L</t>
  </si>
  <si>
    <t>889602111464</t>
  </si>
  <si>
    <t>Jessica Simpson Foil-Printed Half-Zip Hoodie Jet Black XS</t>
  </si>
  <si>
    <t>645545931954</t>
  </si>
  <si>
    <t>Material Girl Active Juniors Metallic-Detai Black XS</t>
  </si>
  <si>
    <t>887854010856</t>
  </si>
  <si>
    <t>Miss Chievous Juniors Lace-Trim V-Neck Tuni Merlot L</t>
  </si>
  <si>
    <t>190040298885</t>
  </si>
  <si>
    <t>Almost Famous Juniors Ribbed-Panel Button-D Navy XS</t>
  </si>
  <si>
    <t>645545933033</t>
  </si>
  <si>
    <t>Material Girl Active Juniors Racerback Spor Heather Platinum M</t>
  </si>
  <si>
    <t>886998520733</t>
  </si>
  <si>
    <t>American Rag Trendy Plus Size Off-The-Shoul Eclipse 2X</t>
  </si>
  <si>
    <t>708008376805</t>
  </si>
  <si>
    <t>City Studios Juniors Off-The-Shoulder Stri BlackWhite 3</t>
  </si>
  <si>
    <t>708008369111</t>
  </si>
  <si>
    <t>City Studios Juniors Lace Two-Piece Dress Blue 13</t>
  </si>
  <si>
    <t>8648XX1C</t>
  </si>
  <si>
    <t>3K31972MC</t>
  </si>
  <si>
    <t>J12182AG2</t>
  </si>
  <si>
    <t>889775093079</t>
  </si>
  <si>
    <t>American Rag Lace-Inset High-Low Peasant To Chilli Pepper S</t>
  </si>
  <si>
    <t>887400720208</t>
  </si>
  <si>
    <t>Eyeshadow Trendy Plus Size Embroidered T Burgundy Passion 1X</t>
  </si>
  <si>
    <t>744199495130</t>
  </si>
  <si>
    <t>Dollhouse Juniors Ripped Colored Wash C Sage 11</t>
  </si>
  <si>
    <t>841060128255</t>
  </si>
  <si>
    <t>Hippie Rose Juniors Open-Front Duster Car Black S</t>
  </si>
  <si>
    <t>706256917269</t>
  </si>
  <si>
    <t>Material Girl Printed Yoga Leggings Black M</t>
  </si>
  <si>
    <t>887648661400</t>
  </si>
  <si>
    <t>Freeze 24-7 Juniors Cute And Hungry Graph True Black XS</t>
  </si>
  <si>
    <t>706256923598</t>
  </si>
  <si>
    <t>Material Girl Juniors Workout Graphic Yoga Black M</t>
  </si>
  <si>
    <t>695532512215</t>
  </si>
  <si>
    <t>Ultra Flirt Juniors Cold-Shoulder Top BlackWhite Stripe M</t>
  </si>
  <si>
    <t>695532512208</t>
  </si>
  <si>
    <t>Ultra Flirt Juniors Cold-Shoulder Top BlackWhite Stripe S</t>
  </si>
  <si>
    <t>645545917125</t>
  </si>
  <si>
    <t>695532512376</t>
  </si>
  <si>
    <t>Ultra Flirt Juniors Varsity Top BlackWhite L</t>
  </si>
  <si>
    <t>637677252441</t>
  </si>
  <si>
    <t>Belle Du Jour Juniors Lace-Trim Cold-Should Black L</t>
  </si>
  <si>
    <t>190121132114</t>
  </si>
  <si>
    <t>Lisa Frank Juniors Patch Graphic Denim V Light Blue S</t>
  </si>
  <si>
    <t>889775052762</t>
  </si>
  <si>
    <t>American Rag Suede Fringe Crossbody Ginger Gla ONE SIZE</t>
  </si>
  <si>
    <t>6AB06GZG</t>
  </si>
  <si>
    <t>759880883660</t>
  </si>
  <si>
    <t>REWIND Juniors Skinny Cargo Pants Medium Gray 7</t>
  </si>
  <si>
    <t>R1494UTES</t>
  </si>
  <si>
    <t>JK1175T1GA6SM</t>
  </si>
  <si>
    <t>CJ20117D52</t>
  </si>
  <si>
    <t>887043033543</t>
  </si>
  <si>
    <t>Celebrity Pink Juniors Pants, Skinny Black 11</t>
  </si>
  <si>
    <t>889602111488</t>
  </si>
  <si>
    <t>Jessica Simpson Foil-Printed Half-Zip Hoodie Jet Black M</t>
  </si>
  <si>
    <t>841060123199</t>
  </si>
  <si>
    <t>Hippie Rose Juniors Striped Crisscross-Ba Navy Combo L</t>
  </si>
  <si>
    <t>887043628336</t>
  </si>
  <si>
    <t>Celebrity Pink Juniors Skinny Ponte Pants Burnt Red 11</t>
  </si>
  <si>
    <t>619720898332</t>
  </si>
  <si>
    <t>FISHBOWL Juniors Printed Tie-Neck Shif RustBurgundy Combo M</t>
  </si>
  <si>
    <t>746194687220</t>
  </si>
  <si>
    <t>Material Girl Juniors Cap-Sleeve Bodysuit Black XXL</t>
  </si>
  <si>
    <t>889602111716</t>
  </si>
  <si>
    <t>Jessica Simpson Logo Foil Graphic Jogger Pants Black Combo S</t>
  </si>
  <si>
    <t>889901063396</t>
  </si>
  <si>
    <t>Hooked Up by IOT Juniors Cowl-Neck Pullover Sw Faded Indigo XL</t>
  </si>
  <si>
    <t>829826311677</t>
  </si>
  <si>
    <t>Planet Gold Juniors Holiday-Print Fit F Black Combo S</t>
  </si>
  <si>
    <t>619720917033</t>
  </si>
  <si>
    <t>Be Bop Juniors Lace-Trim Velvet Top Black L</t>
  </si>
  <si>
    <t>705143713816</t>
  </si>
  <si>
    <t>Energie Active Juniors Fleece Vest an Grey Space DyeCaviar M</t>
  </si>
  <si>
    <t>887069551410</t>
  </si>
  <si>
    <t>Material Girl Juniors Pull-On Faux-Leather Caviar Black L</t>
  </si>
  <si>
    <t>190371313400</t>
  </si>
  <si>
    <t>Bioworld Fantastic Beasts Juniors Acci Maroon XS</t>
  </si>
  <si>
    <t>713701110250</t>
  </si>
  <si>
    <t>American Rag Lace Bell-Sleeve Romper Classic Black XL</t>
  </si>
  <si>
    <t>889775093666</t>
  </si>
  <si>
    <t>3539NDA5</t>
  </si>
  <si>
    <t>W23627AR</t>
  </si>
  <si>
    <t>CJ22005H18</t>
  </si>
  <si>
    <t>DARK ANKLE SKINNY 27"INS</t>
  </si>
  <si>
    <t>CJ22032E17</t>
  </si>
  <si>
    <t>887043675316</t>
  </si>
  <si>
    <t>841060128262</t>
  </si>
  <si>
    <t>Hippie Rose Juniors Open-Front Duster Car Black M</t>
  </si>
  <si>
    <t>841060128569</t>
  </si>
  <si>
    <t>Hippie Rose Juniors Striped Cardigan NavyClay M</t>
  </si>
  <si>
    <t>H7S0154</t>
  </si>
  <si>
    <t>J1354A71660</t>
  </si>
  <si>
    <t>889602134029</t>
  </si>
  <si>
    <t>Jessica Simpson Juniors Crisscross High-Impac Floral Herringbone XS</t>
  </si>
  <si>
    <t>3K31615MC</t>
  </si>
  <si>
    <t>841060128132</t>
  </si>
  <si>
    <t>Hippie Rose Juniors Striped Sweater Bandana BlueIvory XL</t>
  </si>
  <si>
    <t>H6F0139</t>
  </si>
  <si>
    <t>841060127104</t>
  </si>
  <si>
    <t>Hippie Rose Juniors Velour Flare-Leg Pant Black S</t>
  </si>
  <si>
    <t>190040374237</t>
  </si>
  <si>
    <t>Almost Famous Juniors Zip-Up Emoji Patch To Black S</t>
  </si>
  <si>
    <t>645545964679</t>
  </si>
  <si>
    <t>Rebellious One Juniors Seriously Cannot Grap Burgundy L</t>
  </si>
  <si>
    <t>889602138164</t>
  </si>
  <si>
    <t>Jessica Simpson Juniors Graphic Tank Top Glowing White M</t>
  </si>
  <si>
    <t>190121212465</t>
  </si>
  <si>
    <t>Mighty Fine Juniors Pokemon Pikachu Grap Black L</t>
  </si>
  <si>
    <t>695532512239</t>
  </si>
  <si>
    <t>Ultra Flirt Juniors Cold-Shoulder Top BlackWhite Stripe XL</t>
  </si>
  <si>
    <t>FRI0171-542WHT</t>
  </si>
  <si>
    <t>716068580933</t>
  </si>
  <si>
    <t>2-Kuhl Juniors High-Low Friends Grap White L</t>
  </si>
  <si>
    <t>716068580919</t>
  </si>
  <si>
    <t>2-Kuhl Juniors High-Low Friends Grap White S</t>
  </si>
  <si>
    <t>708008348109</t>
  </si>
  <si>
    <t>City Studios Juniors Embellished Lace A-Li Red 3</t>
  </si>
  <si>
    <t>3191YU8FTP</t>
  </si>
  <si>
    <t>708008261989</t>
  </si>
  <si>
    <t>City Studios Juniors Illusion Embellished Silver 1</t>
  </si>
  <si>
    <t>3155YG2CT1</t>
  </si>
  <si>
    <t>747941976789</t>
  </si>
  <si>
    <t>Speechless Juniors Embellished Lace Crop Black 3</t>
  </si>
  <si>
    <t>X90264HVA</t>
  </si>
  <si>
    <t>708008325957</t>
  </si>
  <si>
    <t>City Studios Juniors Embellished-Waist Str Blue 9</t>
  </si>
  <si>
    <t>9560YL5BT3</t>
  </si>
  <si>
    <t>886542627482</t>
  </si>
  <si>
    <t>B Darlin Juniors 2-Pc. Sequin-Lace Bod Black 78</t>
  </si>
  <si>
    <t>708008322154</t>
  </si>
  <si>
    <t>City Studios Juniors Embellished Pleated B Navy 5</t>
  </si>
  <si>
    <t>3801AM6BT3</t>
  </si>
  <si>
    <t>886542631700</t>
  </si>
  <si>
    <t>B Darlin Juniors Open-Back Rhinestone- GoldBlack 1112</t>
  </si>
  <si>
    <t>889775082950</t>
  </si>
  <si>
    <t>American Rag Denim Skirtalls Sorrento Wash M</t>
  </si>
  <si>
    <t>6FD07</t>
  </si>
  <si>
    <t>815224022192</t>
  </si>
  <si>
    <t>M1858 Kate Cuffed Ripped Glow Wash S Glow 27</t>
  </si>
  <si>
    <t>822980568659</t>
  </si>
  <si>
    <t>Jessica Simpson Davina Strapless Flounced Jump Black XXS</t>
  </si>
  <si>
    <t>637865169315</t>
  </si>
  <si>
    <t>Calvin Klein Jeans Graphic-Logo Pleated Sweatshir White Wash XL</t>
  </si>
  <si>
    <t>661414502995</t>
  </si>
  <si>
    <t>Teeze Me Juniors Illusion Lace Bodycon Teal 1</t>
  </si>
  <si>
    <t>H383744</t>
  </si>
  <si>
    <t>806256972364</t>
  </si>
  <si>
    <t>American Rag Lace-Panel Belted Dress Classic Black XS</t>
  </si>
  <si>
    <t>W33149CBK</t>
  </si>
  <si>
    <t>713701075245</t>
  </si>
  <si>
    <t>American Rag Juniors Embroidered Chambray Chambray XXL</t>
  </si>
  <si>
    <t>W31243OLTW</t>
  </si>
  <si>
    <t>889775098050</t>
  </si>
  <si>
    <t>American Rag Trendy Plus Size Floral-Print Oatmeal Combo 0X</t>
  </si>
  <si>
    <t>713701111820</t>
  </si>
  <si>
    <t>Material Girl Juniors Lace Bell-Sleeve Shif Cloud Dancer L</t>
  </si>
  <si>
    <t>886542618046</t>
  </si>
  <si>
    <t>B Darlin Juniors Colorblocked Fit Fl CobaltBlack 910</t>
  </si>
  <si>
    <t>601350882485</t>
  </si>
  <si>
    <t>Speechless Juniors Sleeveless Embellishe Black 11</t>
  </si>
  <si>
    <t>D64531DB8</t>
  </si>
  <si>
    <t>889775004440</t>
  </si>
  <si>
    <t>American Rag Pintucked Chambray Blouse Indigo M</t>
  </si>
  <si>
    <t>5FW14BIND</t>
  </si>
  <si>
    <t>822240246341</t>
  </si>
  <si>
    <t>BCX Juniors Belted Colorblocked S Beige 0</t>
  </si>
  <si>
    <t>0060J2A</t>
  </si>
  <si>
    <t>713701109988</t>
  </si>
  <si>
    <t>American Rag Printed Cold-Shoulder Dress Blueprint XXS</t>
  </si>
  <si>
    <t>713701109797</t>
  </si>
  <si>
    <t>American Rag Printed Crochet Halter Dress Cream Combo S</t>
  </si>
  <si>
    <t>768594155505</t>
  </si>
  <si>
    <t>American Rag Juniors Striped Cowl-Neck top Egret XXL</t>
  </si>
  <si>
    <t>78377BAR</t>
  </si>
  <si>
    <t>889623377337</t>
  </si>
  <si>
    <t>Volcom Juniors Road Trip Printed Shi Brick Red XS</t>
  </si>
  <si>
    <t>B1341607</t>
  </si>
  <si>
    <t>822982437571</t>
  </si>
  <si>
    <t>Jessica Simpson Missa High-Low Crocheted Peasa Black XS</t>
  </si>
  <si>
    <t>822982602696</t>
  </si>
  <si>
    <t>Jessica Simpson Fifi Printed Cutout Peasant To Tapestry XS</t>
  </si>
  <si>
    <t>886998513476</t>
  </si>
  <si>
    <t>American Rag Trendy Plus Size Lace-Trim Hen Egret 1X</t>
  </si>
  <si>
    <t>889775098159</t>
  </si>
  <si>
    <t>American Rag Trendy Plus Size Handkerchief- Egret 2X</t>
  </si>
  <si>
    <t>617171305966</t>
  </si>
  <si>
    <t>ING Plus Size Lace Fringe-Trim Dre Wine 2X</t>
  </si>
  <si>
    <t>NDA354X-EML</t>
  </si>
  <si>
    <t>889775059860</t>
  </si>
  <si>
    <t>American Rag Star-Print Denim Mini Skirt Multi XL</t>
  </si>
  <si>
    <t>6MD13SAREA</t>
  </si>
  <si>
    <t>826410384857</t>
  </si>
  <si>
    <t>BCX Juniors Lace-Contrast Shift D Black S</t>
  </si>
  <si>
    <t>1137Y21</t>
  </si>
  <si>
    <t>829092191232</t>
  </si>
  <si>
    <t>XOXO Juniors Button-Trim Wide-Leg Red 910</t>
  </si>
  <si>
    <t>FLUSH FEATHER SHORT</t>
  </si>
  <si>
    <t>M61230</t>
  </si>
  <si>
    <t>PK14660MC</t>
  </si>
  <si>
    <t>716068580858</t>
  </si>
  <si>
    <t>NACHO BAE</t>
  </si>
  <si>
    <t>QE0971YK1919</t>
  </si>
  <si>
    <t>693401705447</t>
  </si>
  <si>
    <t>821942448770</t>
  </si>
  <si>
    <t>Planet Gold Juniors Off-the-Shoulder Dres Olive S</t>
  </si>
  <si>
    <t>3 AV/MD/RG</t>
  </si>
  <si>
    <t>90028ZN204</t>
  </si>
  <si>
    <t>822982511554</t>
  </si>
  <si>
    <t>Jessica Simpson Lace-Up Off-The-Shoulder Sweat Whisper White M</t>
  </si>
  <si>
    <t>889775070582</t>
  </si>
  <si>
    <t>American Rag High-Waist Trudy Wash Skinny J Twilight Wash 1</t>
  </si>
  <si>
    <t>10338MG</t>
  </si>
  <si>
    <t>6BD33X</t>
  </si>
  <si>
    <t>889775069623</t>
  </si>
  <si>
    <t>American Rag Colored Wash Super-Skinny Jean Olive 9</t>
  </si>
  <si>
    <t>829092299297</t>
  </si>
  <si>
    <t>XOXO Juniors Wide-Leg Trousers White 12</t>
  </si>
  <si>
    <t>768594155604</t>
  </si>
  <si>
    <t>American Rag Cami T-Shirt Dress Coral XXS</t>
  </si>
  <si>
    <t>768594155635</t>
  </si>
  <si>
    <t>American Rag Cami T-Shirt Dress Coral M</t>
  </si>
  <si>
    <t>6HT26</t>
  </si>
  <si>
    <t>888825935574</t>
  </si>
  <si>
    <t>Material Girl Juniors Mock-Neck Lace Dress Red S</t>
  </si>
  <si>
    <t>10325MG</t>
  </si>
  <si>
    <t>886998513537</t>
  </si>
  <si>
    <t>American Rag Trendy Plus Size Lace-Trim Hen Coastal Flood 3X</t>
  </si>
  <si>
    <t>6BE12</t>
  </si>
  <si>
    <t>713701112544</t>
  </si>
  <si>
    <t>Material Girl Juniors Lace-Detail Pencil Sk Black Combo S</t>
  </si>
  <si>
    <t>50138MG</t>
  </si>
  <si>
    <t>CX22005H20</t>
  </si>
  <si>
    <t>20194MG</t>
  </si>
  <si>
    <t>706256894546</t>
  </si>
  <si>
    <t>Material Girl Active Juniors Metallic Zip H Black Metallic S</t>
  </si>
  <si>
    <t>706256894751</t>
  </si>
  <si>
    <t>Material Girl Active Juniors Metallic Zip H Gold Metallic S</t>
  </si>
  <si>
    <t>706256894553</t>
  </si>
  <si>
    <t>Material Girl Active Juniors Metallic Zip H Black Metallic M</t>
  </si>
  <si>
    <t>887043693655</t>
  </si>
  <si>
    <t>Celebrity Pink Juniors Flocked Skinny Jeans Black 5</t>
  </si>
  <si>
    <t>ERM2705427</t>
  </si>
  <si>
    <t>M61210</t>
  </si>
  <si>
    <t>645545933675</t>
  </si>
  <si>
    <t>Material Girl Juniors Graphic Jogger Pants Heather Charcoal M</t>
  </si>
  <si>
    <t>645545933835</t>
  </si>
  <si>
    <t>Material Girl Juniors Mesh-Inset Graphic Sw Black M</t>
  </si>
  <si>
    <t>888825991839</t>
  </si>
  <si>
    <t>Tinseltown Juniors Moto Burgundy Wash Sk Burgundy 11</t>
  </si>
  <si>
    <t>3K31336MC</t>
  </si>
  <si>
    <t>JFLIK004610</t>
  </si>
  <si>
    <t>887043628442</t>
  </si>
  <si>
    <t>Celebrity Pink Juniors Skinny Ponte Pants Olive Night 7</t>
  </si>
  <si>
    <t>746194687176</t>
  </si>
  <si>
    <t>Material Girl Juniors Cap-Sleeve Bodysuit Black L</t>
  </si>
  <si>
    <t>889602128264</t>
  </si>
  <si>
    <t>Jessica Simpson Juniors Logo Jogger Pants Italian Plum S</t>
  </si>
  <si>
    <t>889602128271</t>
  </si>
  <si>
    <t>Jessica Simpson Juniors Logo Jogger Pants Italian Plum M</t>
  </si>
  <si>
    <t>PW11823MC</t>
  </si>
  <si>
    <t>706256923741</t>
  </si>
  <si>
    <t>Material Girl Active Juniors Lace-Waist Yog Fuschia L</t>
  </si>
  <si>
    <t>706256923727</t>
  </si>
  <si>
    <t>Material Girl Active Juniors Lace-Waist Yog Fuschia S</t>
  </si>
  <si>
    <t>706256694900</t>
  </si>
  <si>
    <t>Material Girl Juniors Graphic Jogger Pants Black S</t>
  </si>
  <si>
    <t>706256695150</t>
  </si>
  <si>
    <t>Material Girl Active Juniors Love Yoga Pant Black S</t>
  </si>
  <si>
    <t>706256695280</t>
  </si>
  <si>
    <t>Material Girl Active Juniors Lace-Waist Yog Black XL</t>
  </si>
  <si>
    <t>645545932302</t>
  </si>
  <si>
    <t>Material Girl Active Juniors Metallic-Detai Flashmode M</t>
  </si>
  <si>
    <t>645545932319</t>
  </si>
  <si>
    <t>Material Girl Active Juniors Metallic-Detai Flashmode L</t>
  </si>
  <si>
    <t>841060125186</t>
  </si>
  <si>
    <t>Hippie Rose Juniors Dolman-Sleeve Graphic MoonstoneLight GreyBlack Sno M</t>
  </si>
  <si>
    <t>190344361674</t>
  </si>
  <si>
    <t>Trolls by DreamWorks Juniors Trolls Graphic Jogger Vintage BlackWhite S</t>
  </si>
  <si>
    <t>JB2449JTRL0113</t>
  </si>
  <si>
    <t>645545934405</t>
  </si>
  <si>
    <t>Material Girl Juniors Graphic Shorts Black L</t>
  </si>
  <si>
    <t>645545953819</t>
  </si>
  <si>
    <t>Material Girl Juniors Graphic Racerback Tan Strong Yelllow M</t>
  </si>
  <si>
    <t>645545953833</t>
  </si>
  <si>
    <t>Material Girl Juniors Graphic Racerback Tan Strong Yelllow XL</t>
  </si>
  <si>
    <t>645545934801</t>
  </si>
  <si>
    <t>Material Girl Juniors Strappy Graphic Tank Black L</t>
  </si>
  <si>
    <t>M61247</t>
  </si>
  <si>
    <t>645545934818</t>
  </si>
  <si>
    <t>Material Girl Juniors Strappy Graphic Tank Black XL</t>
  </si>
  <si>
    <t>M6914HP212</t>
  </si>
  <si>
    <t>645545931473</t>
  </si>
  <si>
    <t>Material Girl Active Juniors Graphic Tank T Hot Chilli S</t>
  </si>
  <si>
    <t>645545931817</t>
  </si>
  <si>
    <t>Material Girl Active Juniors Graphic Tank T Deep Charcoal L</t>
  </si>
  <si>
    <t>M61109</t>
  </si>
  <si>
    <t>645545931633</t>
  </si>
  <si>
    <t>Material Girl Active Juniors Graphic Tank T Femme Fuschia S</t>
  </si>
  <si>
    <t>645545933026</t>
  </si>
  <si>
    <t>Material Girl Active Juniors Racerback Spor Heather Platinum S</t>
  </si>
  <si>
    <t>645545933255</t>
  </si>
  <si>
    <t>Material Girl Active Juniors Pull-On Shorts Heather Platinum XS</t>
  </si>
  <si>
    <t>8309SS3BT3</t>
  </si>
  <si>
    <t>713701110229</t>
  </si>
  <si>
    <t>American Rag Lace Bell-Sleeve Romper Classic Black S</t>
  </si>
  <si>
    <t>822982621086</t>
  </si>
  <si>
    <t>Jessica Simpson Arielle Embroidered Peasant Sh BlackWhite S</t>
  </si>
  <si>
    <t>708008363737</t>
  </si>
  <si>
    <t>City Studios Juniors Scallop-Trim Lace Bod NudeBlack 5</t>
  </si>
  <si>
    <t>842127107770</t>
  </si>
  <si>
    <t>American Rag Embroidered Lace Fit Flare D Classic Black S</t>
  </si>
  <si>
    <t>889775094137</t>
  </si>
  <si>
    <t>American Rag Off-The-Shoulder Pointelle Swe Egret L</t>
  </si>
  <si>
    <t>10364MG</t>
  </si>
  <si>
    <t>713701112407</t>
  </si>
  <si>
    <t>Material Girl Juniors 2-Pc. Lace-Trim Slip Zinfandel Combo S</t>
  </si>
  <si>
    <t>P6HD16</t>
  </si>
  <si>
    <t>JK1328B1GHGM</t>
  </si>
  <si>
    <t>791093382707</t>
  </si>
  <si>
    <t>SHIFT Juniors Sheer Metallic Pencil BlackSilver M</t>
  </si>
  <si>
    <t>791093382387</t>
  </si>
  <si>
    <t>SHIFT Juniors Plisse Cropped Wide- Black XS</t>
  </si>
  <si>
    <t>829092301136</t>
  </si>
  <si>
    <t>XOXO Juniors Velvet Chiffon-Contra Black M</t>
  </si>
  <si>
    <t>3541VNV5</t>
  </si>
  <si>
    <t>0047W7M</t>
  </si>
  <si>
    <t>889775093765</t>
  </si>
  <si>
    <t>889775093772</t>
  </si>
  <si>
    <t>887043730039</t>
  </si>
  <si>
    <t>Celebrity Pink Juniors Body Sculpt The Lifte Black Rinse 1</t>
  </si>
  <si>
    <t>CJ21378SL</t>
  </si>
  <si>
    <t>3K31555MC</t>
  </si>
  <si>
    <t>889602138232</t>
  </si>
  <si>
    <t>Jessica Simpson Juniors Tie-Dyed Jogger Pants Blue Tie Dye XL</t>
  </si>
  <si>
    <t>RIB LACE MARYLN</t>
  </si>
  <si>
    <t>106149H</t>
  </si>
  <si>
    <t>841060126046</t>
  </si>
  <si>
    <t>Hippie Rose Juniors Lace-Trim Asymmetrica Vanilla Almond L</t>
  </si>
  <si>
    <t>JL2W006076</t>
  </si>
  <si>
    <t>889602128684</t>
  </si>
  <si>
    <t>Freshman Juniors Sleeveless Cowl-Neck Fleur De Lis M</t>
  </si>
  <si>
    <t>889602128691</t>
  </si>
  <si>
    <t>Freshman Juniors Sleeveless Cowl-Neck Fleur De Lis L</t>
  </si>
  <si>
    <t>841060127227</t>
  </si>
  <si>
    <t>Hippie Rose Juniors Velour Jogger Pants Medium Heather Grey L</t>
  </si>
  <si>
    <t>841060126770</t>
  </si>
  <si>
    <t>Hippie Rose Juniors Velour Jogger Pants Tapestry Blue L</t>
  </si>
  <si>
    <t>706256576404</t>
  </si>
  <si>
    <t>M7121</t>
  </si>
  <si>
    <t>706256732510</t>
  </si>
  <si>
    <t>706256923840</t>
  </si>
  <si>
    <t>Material Girl Juniors Shine-Waistband Yoga Classic Black XXS</t>
  </si>
  <si>
    <t>706257141151</t>
  </si>
  <si>
    <t>706256917597</t>
  </si>
  <si>
    <t>H6F0144</t>
  </si>
  <si>
    <t>889602138126</t>
  </si>
  <si>
    <t>Jessica Simpson Juniors Graphic Tank Top Flutter Pink L</t>
  </si>
  <si>
    <t>MY FLEX LATTICE TANK</t>
  </si>
  <si>
    <t>M6O34BW212</t>
  </si>
  <si>
    <t>11325MYE</t>
  </si>
  <si>
    <t>717960517089</t>
  </si>
  <si>
    <t>Extra Touch Trendy Plus Size Strappy-Back Gray 2X</t>
  </si>
  <si>
    <t>717960513371</t>
  </si>
  <si>
    <t>I131H709H</t>
  </si>
  <si>
    <t>MY MICHELLE/KELLWOOD CO</t>
  </si>
  <si>
    <t>719621218809</t>
  </si>
  <si>
    <t>American Rag Utility Vest Zinfandel XS</t>
  </si>
  <si>
    <t>3182ND8CT3</t>
  </si>
  <si>
    <t>829092280592</t>
  </si>
  <si>
    <t>XOXO Juniors Asymmetrical Dolman-S Ivory XXL</t>
  </si>
  <si>
    <t>4480XFT</t>
  </si>
  <si>
    <t>8435HPC</t>
  </si>
  <si>
    <t>829092281162</t>
  </si>
  <si>
    <t>XOXO Juniors Off-The-Shoulder Swea BlackIvory XS</t>
  </si>
  <si>
    <t>4600XEW</t>
  </si>
  <si>
    <t>713701105614</t>
  </si>
  <si>
    <t>Material Girl Juniors Zipper-Trim Faux-Leat Caviar Black XS</t>
  </si>
  <si>
    <t>P6HQ02</t>
  </si>
  <si>
    <t>826409611957</t>
  </si>
  <si>
    <t>BCX Juniors Sheer Belted A-Line D Multi L</t>
  </si>
  <si>
    <t>826409524707</t>
  </si>
  <si>
    <t>BCX Juniors Lace-Up Cowl-Neck Swe White M</t>
  </si>
  <si>
    <t>826409611926</t>
  </si>
  <si>
    <t>BCX Juniors Sheer Belted A-Line D Multi XS</t>
  </si>
  <si>
    <t>NTC164X-RBU</t>
  </si>
  <si>
    <t>888825945245</t>
  </si>
  <si>
    <t>Material Girl Lace-Up Rib-Knit Bodysuit Zinfandel XL</t>
  </si>
  <si>
    <t>1124V50</t>
  </si>
  <si>
    <t>ASSORTED</t>
  </si>
  <si>
    <t>826409630071</t>
  </si>
  <si>
    <t>BCX Juniors Belted Cutout Fit F Red XXS</t>
  </si>
  <si>
    <t>706256894768</t>
  </si>
  <si>
    <t>Material Girl Active Juniors Metallic Zip H Gold Metallic M</t>
  </si>
  <si>
    <t>652874756752</t>
  </si>
  <si>
    <t>Speechless Juniors Striped Swing Dress OlivePlum Combo S</t>
  </si>
  <si>
    <t>3K31066MC</t>
  </si>
  <si>
    <t>695532480903</t>
  </si>
  <si>
    <t>Ultra Flirt Juniors Sleeveless Mock-Neck Wine Tasting XL</t>
  </si>
  <si>
    <t>695532480842</t>
  </si>
  <si>
    <t>Ultra Flirt Juniors Sleeveless Mock-Neck Olive L</t>
  </si>
  <si>
    <t>841060119291</t>
  </si>
  <si>
    <t>Hippie Rose Juniors Handkerchief-Hem Card Heather Oatmeal Combo L</t>
  </si>
  <si>
    <t>887648645332</t>
  </si>
  <si>
    <t>Freeze 24-7 Juniors Mickey Mouse Patch Gr Red XS</t>
  </si>
  <si>
    <t>MYSJR76-8K78</t>
  </si>
  <si>
    <t>887648645349</t>
  </si>
  <si>
    <t>Freeze 24-7 Juniors Mickey Mouse Patch Gr Red S</t>
  </si>
  <si>
    <t>706256923772</t>
  </si>
  <si>
    <t>Material Girl Active Juniors Lace-Waist Yog Fuschia XXS</t>
  </si>
  <si>
    <t>645545935594</t>
  </si>
  <si>
    <t>Material Girl Active Juniors Metallic-Detai Cosmic Cobalt M</t>
  </si>
  <si>
    <t>M6823SU212</t>
  </si>
  <si>
    <t>LT/PAS YEL</t>
  </si>
  <si>
    <t>841060124219</t>
  </si>
  <si>
    <t>Hippie Rose Juniors Long-Sleeve Coccoon C BlackIvory XS</t>
  </si>
  <si>
    <t>841060121782</t>
  </si>
  <si>
    <t>Pink Rose Juniors V-Neck Fine-Gauge Swe Olive Branch M</t>
  </si>
  <si>
    <t>645545938755</t>
  </si>
  <si>
    <t>Rebellious One Juniors FriYAY Patch Graphic Black XS</t>
  </si>
  <si>
    <t>695532437709</t>
  </si>
  <si>
    <t>Ultra Flirt Juniors Marled High-Low Pullo Tawny Port M</t>
  </si>
  <si>
    <t>887069038447</t>
  </si>
  <si>
    <t>Material Girl Juniors Pants, Faux-Leather Le Caviar Black XSS</t>
  </si>
  <si>
    <t>H6F0102M</t>
  </si>
  <si>
    <t>JL3197JTRL0127</t>
  </si>
  <si>
    <t>H6S0101M</t>
  </si>
  <si>
    <t>716068570903</t>
  </si>
  <si>
    <t>NTD Juniors Short-Sleeve Graphic BlackWhite S</t>
  </si>
  <si>
    <t>BVJG2000</t>
  </si>
  <si>
    <t>706256504322</t>
  </si>
  <si>
    <t>Material Girl Printed Yoga Shorts Fall Feather M</t>
  </si>
  <si>
    <t>M6O45FF212</t>
  </si>
  <si>
    <t>645545934795</t>
  </si>
  <si>
    <t>Material Girl Juniors Strappy Graphic Tank Black M</t>
  </si>
  <si>
    <t>JL2996JTRL0086</t>
  </si>
  <si>
    <t>645545933019</t>
  </si>
  <si>
    <t>Material Girl Active Juniors Racerback Spor Heather Platinum XS</t>
  </si>
  <si>
    <t>645545932920</t>
  </si>
  <si>
    <t>Material Girl Active Juniors Racerback Spor Hot Chilli XS</t>
  </si>
  <si>
    <t>655998351698</t>
  </si>
  <si>
    <t>Material Girl Printed Lace Bandeau Bra Sugar Almond M</t>
  </si>
  <si>
    <t>M5411SA212</t>
  </si>
  <si>
    <t>190371313363</t>
  </si>
  <si>
    <t>Bioworld Fantastic Beasts Juniors Noma White S</t>
  </si>
  <si>
    <t>RG4RZRFAN</t>
  </si>
  <si>
    <t>190371313455</t>
  </si>
  <si>
    <t>Bioworld Fantastic Beasts Juniors Newt White XS</t>
  </si>
  <si>
    <t>RG4S1NFAN</t>
  </si>
  <si>
    <t>821942362144</t>
  </si>
  <si>
    <t>Planet Gold Juniors Spaghetti-Strap Tank Evening Blue XXS</t>
  </si>
  <si>
    <t>705143701608</t>
  </si>
  <si>
    <t>Energie Juniors Reversible Seamless C Boysenberry S</t>
  </si>
  <si>
    <t>705143701844</t>
  </si>
  <si>
    <t>Energie Juniors Reversible Seamless C Algiers Blue S</t>
  </si>
  <si>
    <t>42ZD772</t>
  </si>
  <si>
    <t>708008363164</t>
  </si>
  <si>
    <t>City Studios Juniors Embellished Lace-Fron Black 7</t>
  </si>
  <si>
    <t>RUBY CLEMENS</t>
  </si>
  <si>
    <t>HO6417012</t>
  </si>
  <si>
    <t>SILV SELF BELT UTILITY SH</t>
  </si>
  <si>
    <t>10359MG</t>
  </si>
  <si>
    <t>70111MG</t>
  </si>
  <si>
    <t>191198125788</t>
  </si>
  <si>
    <t>Material Girl Juniors Maxi Romper, Only at Black Combo XS</t>
  </si>
  <si>
    <t>EDB1027420.</t>
  </si>
  <si>
    <t>661414516381</t>
  </si>
  <si>
    <t>Teeze Me Juniors Velvet Crisscross-Bac Red L</t>
  </si>
  <si>
    <t>JA87861GLC</t>
  </si>
  <si>
    <t>889237815966</t>
  </si>
  <si>
    <t>As U Wish Juniors Bodycon Dress with Ne Black M</t>
  </si>
  <si>
    <t>I571215A1</t>
  </si>
  <si>
    <t>889775090603</t>
  </si>
  <si>
    <t>889775093369</t>
  </si>
  <si>
    <t>889775093345</t>
  </si>
  <si>
    <t>889602128745</t>
  </si>
  <si>
    <t>Freshman Juniors Sleeveless Cowl-Neck Honeysuckle Sun L</t>
  </si>
  <si>
    <t>1DDYNSXU</t>
  </si>
  <si>
    <t>JLFQAD76938</t>
  </si>
  <si>
    <t>889775093482</t>
  </si>
  <si>
    <t>PAT TOP SPLIT FT</t>
  </si>
  <si>
    <t>1016Y4T</t>
  </si>
  <si>
    <t>695532495082</t>
  </si>
  <si>
    <t>Ultra Flirt Juniors Contrast Asymmetrical WhiteHeather Grey M</t>
  </si>
  <si>
    <t>LUKE'S GILMORE GIRLS</t>
  </si>
  <si>
    <t>GZJV2002</t>
  </si>
  <si>
    <t>190371344428</t>
  </si>
  <si>
    <t>Bioworld Juniors Fantastic Beasts Grap Ivory XS</t>
  </si>
  <si>
    <t>708008229064</t>
  </si>
  <si>
    <t>City Studios Juniors Dress, Strapless Lace Black 11</t>
  </si>
  <si>
    <t>889775001975</t>
  </si>
  <si>
    <t>American Rag Plus Size Slim Bootcut Jeans, Betsy Wash 14W</t>
  </si>
  <si>
    <t>889775098616</t>
  </si>
  <si>
    <t>American Rag Trendy Plus Size Patched Asbur Asbury Wash 14W</t>
  </si>
  <si>
    <t>829092290485</t>
  </si>
  <si>
    <t>XOXO Juniors Cropped Embellished J BlackWhite Multi S</t>
  </si>
  <si>
    <t>5498TLJ5</t>
  </si>
  <si>
    <t>889775031040</t>
  </si>
  <si>
    <t>American Rag Juniors Hooded Pullover Sweat Biking RedBlue Combo XXL</t>
  </si>
  <si>
    <t>39307012256</t>
  </si>
  <si>
    <t>Levis 712 Slim-Fit Jeans Canopy 30 US 10 R</t>
  </si>
  <si>
    <t>719621218816</t>
  </si>
  <si>
    <t>American Rag Utility Vest Zinfandel S</t>
  </si>
  <si>
    <t>637865169308</t>
  </si>
  <si>
    <t>Calvin Klein Jeans Graphic-Logo Pleated Sweatshir White Wash L</t>
  </si>
  <si>
    <t>886680005609</t>
  </si>
  <si>
    <t>Material Girl Juniors Lace Keyhole Romper Black Combo XXS</t>
  </si>
  <si>
    <t>70092MG</t>
  </si>
  <si>
    <t>886680005647</t>
  </si>
  <si>
    <t>Material Girl Juniors Lace Keyhole Romper Black Combo L</t>
  </si>
  <si>
    <t>886680005623</t>
  </si>
  <si>
    <t>Material Girl Juniors Lace Keyhole Romper Black Combo S</t>
  </si>
  <si>
    <t>886680005630</t>
  </si>
  <si>
    <t>Material Girl Juniors Lace Keyhole Romper Black Combo M</t>
  </si>
  <si>
    <t>889775059952</t>
  </si>
  <si>
    <t>American Rag Juniors Printed Denim Shortal Denim Printed 9</t>
  </si>
  <si>
    <t>6MD75BTY</t>
  </si>
  <si>
    <t>889775070209</t>
  </si>
  <si>
    <t>American Rag Charlie Wash Ripped Skinny Jea Charlie Wash 0</t>
  </si>
  <si>
    <t>889775097169</t>
  </si>
  <si>
    <t>American Rag Trendy Plus Size Peplum Cardig Zinfindel 3X</t>
  </si>
  <si>
    <t>P6FQ33</t>
  </si>
  <si>
    <t>889775088457</t>
  </si>
  <si>
    <t>American Rag Slim-Fit Ishana Wash Bootcut J Puma Wash 5</t>
  </si>
  <si>
    <t>889775088495</t>
  </si>
  <si>
    <t>American Rag Slim-Fit Ishana Wash Bootcut J Puma Wash 13</t>
  </si>
  <si>
    <t>889775088471</t>
  </si>
  <si>
    <t>American Rag Slim-Fit Ishana Wash Bootcut J Puma Wash 9</t>
  </si>
  <si>
    <t>652874792620</t>
  </si>
  <si>
    <t>Speechless Juniors Cutout Lace Chiffon P GoldWhiteBlack S</t>
  </si>
  <si>
    <t>601350864573</t>
  </si>
  <si>
    <t>Speechless Juniors Lace-Bodice Cutout A- Black 13</t>
  </si>
  <si>
    <t>D64571HDJ</t>
  </si>
  <si>
    <t>889775078717</t>
  </si>
  <si>
    <t>American Rag Colored Wash Super-Skinny Jean Zinfandel 3</t>
  </si>
  <si>
    <t>889775067575</t>
  </si>
  <si>
    <t>American Rag Colored Wash Super-Skinny Jean Woodrose 11</t>
  </si>
  <si>
    <t>889775035000</t>
  </si>
  <si>
    <t>American Rag Colored Wash Super-Skinny Jean Woodrose 5</t>
  </si>
  <si>
    <t>889775069647</t>
  </si>
  <si>
    <t>American Rag Colored Wash Super-Skinny Jean Olive 13</t>
  </si>
  <si>
    <t>889775069609</t>
  </si>
  <si>
    <t>American Rag Colored Wash Super-Skinny Jean Olive 5</t>
  </si>
  <si>
    <t>889775069593</t>
  </si>
  <si>
    <t>American Rag Colored Wash Super-Skinny Jean Olive 3</t>
  </si>
  <si>
    <t>829092299211</t>
  </si>
  <si>
    <t>XOXO Juniors Wide-Leg Trousers Red 78</t>
  </si>
  <si>
    <t>829092235677</t>
  </si>
  <si>
    <t>XOXO Juniors Pull-On Skinny Ankle Black S</t>
  </si>
  <si>
    <t>8494KD3</t>
  </si>
  <si>
    <t>829092299198</t>
  </si>
  <si>
    <t>XOXO Juniors Wide-Leg Trousers Red 1314</t>
  </si>
  <si>
    <t>829092318196</t>
  </si>
  <si>
    <t>XOXO Juniors Printed Ankle-Length Red 1314</t>
  </si>
  <si>
    <t>8452HDM8</t>
  </si>
  <si>
    <t>829092231792</t>
  </si>
  <si>
    <t>XOXO Juniors Straight-Leg Plaid Pa Navy 12</t>
  </si>
  <si>
    <t>889775066103</t>
  </si>
  <si>
    <t>American Rag Black Wash Super-Skinny Jeans Black 7</t>
  </si>
  <si>
    <t>829092179971</t>
  </si>
  <si>
    <t>XOXO Juniors Bootcut Pants Silver 56</t>
  </si>
  <si>
    <t>713701110007</t>
  </si>
  <si>
    <t>American Rag Printed Cold-Shoulder Dress Blueprint S</t>
  </si>
  <si>
    <t>822982607523</t>
  </si>
  <si>
    <t>Jessica Simpson Adora Crocheted-Trim Top Italian Plum M</t>
  </si>
  <si>
    <t>888825935598</t>
  </si>
  <si>
    <t>Material Girl Juniors Mock-Neck Lace Dress Red L</t>
  </si>
  <si>
    <t>888825935581</t>
  </si>
  <si>
    <t>Material Girl Juniors Mock-Neck Lace Dress Red M</t>
  </si>
  <si>
    <t>888825935567</t>
  </si>
  <si>
    <t>Material Girl Juniors Mock-Neck Lace Dress Red XS</t>
  </si>
  <si>
    <t>886998513407</t>
  </si>
  <si>
    <t>American Rag Trendy Plus Size Lace-Trim Hen Zinfandel 2X</t>
  </si>
  <si>
    <t>829092284910</t>
  </si>
  <si>
    <t>XOXO Juniors Grommet-Trim Sweater Red L</t>
  </si>
  <si>
    <t>829092284927</t>
  </si>
  <si>
    <t>XOXO Juniors Grommet-Trim Sweater Black S</t>
  </si>
  <si>
    <t>829092281100</t>
  </si>
  <si>
    <t>XOXO Juniors Off-The-Shoulder Swea BlackIvory L</t>
  </si>
  <si>
    <t>887043707659</t>
  </si>
  <si>
    <t>Celebrity Pink Trendy Plus Size Coated Ponte Black 22W</t>
  </si>
  <si>
    <t>889901116863</t>
  </si>
  <si>
    <t>Its Our Time Trendy Plus Size Light-Up Holi Christmas Red 1X</t>
  </si>
  <si>
    <t>J62933W</t>
  </si>
  <si>
    <t>889775064574</t>
  </si>
  <si>
    <t>American Rag Plus Size Linen Ruffled Peplum Classic Black 0X</t>
  </si>
  <si>
    <t>P6BQ21CBK</t>
  </si>
  <si>
    <t>889775056029</t>
  </si>
  <si>
    <t>American Rag Ruched-Side Shorts Khaki 13</t>
  </si>
  <si>
    <t>6SN68OX</t>
  </si>
  <si>
    <t>889775097558</t>
  </si>
  <si>
    <t>American Rag Trendy Plus Size Handkerchief- Chili Pepper 2X</t>
  </si>
  <si>
    <t>829092289144</t>
  </si>
  <si>
    <t>XOXO Juniors Foil-Printed Cold-Sho Ivory S</t>
  </si>
  <si>
    <t>3518FTR5</t>
  </si>
  <si>
    <t>829092246055</t>
  </si>
  <si>
    <t>XOXO Juniors Zip-Front A-Line Skir Black XL</t>
  </si>
  <si>
    <t>4885XBS3</t>
  </si>
  <si>
    <t>829092301686</t>
  </si>
  <si>
    <t>XOXO Juniors Embellished High-Low Ivory M</t>
  </si>
  <si>
    <t>829092235004</t>
  </si>
  <si>
    <t>XOXO Juniors Button-Front Mini A-L Gold XS</t>
  </si>
  <si>
    <t>829092246048</t>
  </si>
  <si>
    <t>XOXO Juniors Zip-Front A-Line Skir Black M</t>
  </si>
  <si>
    <t>888056291951</t>
  </si>
  <si>
    <t>Soprano Trendy Plus Size Velvet Dress Black 3X</t>
  </si>
  <si>
    <t>XD15155CVT</t>
  </si>
  <si>
    <t>887043645401</t>
  </si>
  <si>
    <t>Celebrity Pink Trendy Plus Size Colored Wash Moroccan Blue 24W</t>
  </si>
  <si>
    <t>826409495762</t>
  </si>
  <si>
    <t>BCX Juniors High-Low Layered-Look Bordeaux XL</t>
  </si>
  <si>
    <t>826409496011</t>
  </si>
  <si>
    <t>BCX Juniors High-Low Layered-Look White XXS</t>
  </si>
  <si>
    <t>826409643675</t>
  </si>
  <si>
    <t>BCX Juniors Crocheted Fringe-Trim White XL</t>
  </si>
  <si>
    <t>887043618054</t>
  </si>
  <si>
    <t>Celebrity Pink Body Sculpt by Celebrity Pink Gypsy Rock 1</t>
  </si>
  <si>
    <t>826409495717</t>
  </si>
  <si>
    <t>BCX Juniors High-Low Layered-Look Bordeaux XXS</t>
  </si>
  <si>
    <t>708008358566</t>
  </si>
  <si>
    <t>City Studios Juniors Floral-Print Ruffle-S Black XL</t>
  </si>
  <si>
    <t>829092247052</t>
  </si>
  <si>
    <t>XOXO Juniors Mock-Neck Grommet Top Ivory S</t>
  </si>
  <si>
    <t>887043679819</t>
  </si>
  <si>
    <t>Celebrity Pink Juniors Slimming Technology C Black 3</t>
  </si>
  <si>
    <t>887043679918</t>
  </si>
  <si>
    <t>Celebrity Pink Juniors Slimming Technology C Burnt Red 0</t>
  </si>
  <si>
    <t>887043679826</t>
  </si>
  <si>
    <t>Celebrity Pink Juniors Slimming Technology C Black 5</t>
  </si>
  <si>
    <t>887043694140</t>
  </si>
  <si>
    <t>Celebrity Pink Juniors Paisley Metallic-Prin BlackMetallic Print 11</t>
  </si>
  <si>
    <t>888650119361</t>
  </si>
  <si>
    <t>Ariya Juniors Embellished Slim Boot Grenada 3</t>
  </si>
  <si>
    <t>32223M</t>
  </si>
  <si>
    <t>888650119576</t>
  </si>
  <si>
    <t>Ariya Juniors Curvy Embellished Med Delano 9</t>
  </si>
  <si>
    <t>841907130700</t>
  </si>
  <si>
    <t>Indigo Rein Juniors Embroidered Yuma Medi Yuma 1</t>
  </si>
  <si>
    <t>AN5428C1MZ</t>
  </si>
  <si>
    <t>887043693808</t>
  </si>
  <si>
    <t>Celebrity Pink Juniors Flocked Skinny Jeans Burnt Red 3</t>
  </si>
  <si>
    <t>889153808066</t>
  </si>
  <si>
    <t>Freestyle Juniors Violet Embellished Da Dark Wash 1</t>
  </si>
  <si>
    <t>FSR-7300</t>
  </si>
  <si>
    <t>826409810077</t>
  </si>
  <si>
    <t>BCX Juniors Faux-Leather-Pocket C White M</t>
  </si>
  <si>
    <t>826409702785</t>
  </si>
  <si>
    <t>BCX Juniors Cutout Plaid Peplum T Black Plaid XXS</t>
  </si>
  <si>
    <t>889812466217</t>
  </si>
  <si>
    <t>Levis Love Graphic Top Natural M</t>
  </si>
  <si>
    <t>614015973558</t>
  </si>
  <si>
    <t>Rewash Juniors Ripped High-Waist Lig Light Wash 5</t>
  </si>
  <si>
    <t>J8976A8K</t>
  </si>
  <si>
    <t>614015973855</t>
  </si>
  <si>
    <t>Rewash Juniors High-Waist Black Rins Dark Wash 9</t>
  </si>
  <si>
    <t>888825899128</t>
  </si>
  <si>
    <t>Tinseltown Juniors Ripped Black Wash Ski Black 1</t>
  </si>
  <si>
    <t>614015973862</t>
  </si>
  <si>
    <t>Rewash Juniors High-Waist Black Rins Dark Wash 11</t>
  </si>
  <si>
    <t>841413126471</t>
  </si>
  <si>
    <t>OhMG Juniors Southwest Asymmetrica BlackWhite XL</t>
  </si>
  <si>
    <t>841413126594</t>
  </si>
  <si>
    <t>OhMG Juniors Southwest Asymmetrica NavySlate S</t>
  </si>
  <si>
    <t>841413126556</t>
  </si>
  <si>
    <t>OhMG Juniors Southwest Asymmetrica Medium Grey M</t>
  </si>
  <si>
    <t>841413126617</t>
  </si>
  <si>
    <t>OhMG Juniors Southwest Asymmetrica NavySlate L</t>
  </si>
  <si>
    <t>841413126570</t>
  </si>
  <si>
    <t>OhMG Juniors Southwest Asymmetrica Medium Grey XL</t>
  </si>
  <si>
    <t>645545933927</t>
  </si>
  <si>
    <t>Material Girl Juniors Cold-Shoulder Graphic White L</t>
  </si>
  <si>
    <t>M61211</t>
  </si>
  <si>
    <t>888825991846</t>
  </si>
  <si>
    <t>Tinseltown Juniors Moto Burgundy Wash Sk Burgundy 13</t>
  </si>
  <si>
    <t>826409497162</t>
  </si>
  <si>
    <t>BCX Juniors Asymmetrical Grommet Black M</t>
  </si>
  <si>
    <t>0066R7H</t>
  </si>
  <si>
    <t>637677168803</t>
  </si>
  <si>
    <t>Self Esteem Juniors Draped Open-Front Car NavyChambray Combo L</t>
  </si>
  <si>
    <t>888825991686</t>
  </si>
  <si>
    <t>Tinseltown Juniors Black Wash Skinny Mot Black 0</t>
  </si>
  <si>
    <t>888825991853</t>
  </si>
  <si>
    <t>Tinseltown Juniors Moto Burgundy Wash Sk Burgundy 15</t>
  </si>
  <si>
    <t>768594160806</t>
  </si>
  <si>
    <t>American Rag Trendy Plus Size Cropped Top Classic Black Combo 1X</t>
  </si>
  <si>
    <t>P78310AR</t>
  </si>
  <si>
    <t>AMERICAN RAG-EDI/DISORDERLY KIDS</t>
  </si>
  <si>
    <t>768594160813</t>
  </si>
  <si>
    <t>American Rag Trendy Plus Size Cropped Top Classic Black Combo 2X</t>
  </si>
  <si>
    <t>768594160790</t>
  </si>
  <si>
    <t>American Rag Trendy Plus Size Cropped Top Classic Black Combo 0X</t>
  </si>
  <si>
    <t>889775072593</t>
  </si>
  <si>
    <t>American Rag Striped Lace-Trim Top Zinfandel XS</t>
  </si>
  <si>
    <t>6BL01</t>
  </si>
  <si>
    <t>619720911383</t>
  </si>
  <si>
    <t>Be Bop Juniors Tie-Waist Blouson Dre Navy L</t>
  </si>
  <si>
    <t>JFGZB774184</t>
  </si>
  <si>
    <t>841413124651</t>
  </si>
  <si>
    <t>OhMG Juniors Drape-Collar Aztec-Pa WhiteBlack M</t>
  </si>
  <si>
    <t>841413124668</t>
  </si>
  <si>
    <t>OhMG Juniors Drape-Collar Aztec-Pa WhiteBlack L</t>
  </si>
  <si>
    <t>841413124675</t>
  </si>
  <si>
    <t>OhMG Juniors Drape-Collar Aztec-Pa WhiteBlack XL</t>
  </si>
  <si>
    <t>889602128530</t>
  </si>
  <si>
    <t>Jessica Simpson Juniors Pullover Hoodie Italian Plum XS</t>
  </si>
  <si>
    <t>887043628343</t>
  </si>
  <si>
    <t>Celebrity Pink Juniors Skinny Ponte Pants Burnt Red 13</t>
  </si>
  <si>
    <t>841060123052</t>
  </si>
  <si>
    <t>Hippie Rose Juniors Striped Crisscross-Ba Black Combo XL</t>
  </si>
  <si>
    <t>887043628459</t>
  </si>
  <si>
    <t>Celebrity Pink Juniors Skinny Ponte Pants Olive Night 9</t>
  </si>
  <si>
    <t>841060123175</t>
  </si>
  <si>
    <t>Hippie Rose Juniors Striped Crisscross-Ba Navy Combo S</t>
  </si>
  <si>
    <t>841060123038</t>
  </si>
  <si>
    <t>Hippie Rose Juniors Striped Crisscross-Ba Black Combo M</t>
  </si>
  <si>
    <t>841060123090</t>
  </si>
  <si>
    <t>Hippie Rose Juniors Crisscross-Back High- Black L</t>
  </si>
  <si>
    <t>841060123212</t>
  </si>
  <si>
    <t>Hippie Rose Juniors Crisscross-Back High- Retro Marooon XS</t>
  </si>
  <si>
    <t>841060123250</t>
  </si>
  <si>
    <t>Hippie Rose Juniors Crisscross-Back High- Retro Marooon XL</t>
  </si>
  <si>
    <t>841060123144</t>
  </si>
  <si>
    <t>Hippie Rose Juniors Crisscross-Back High- Med Heather L</t>
  </si>
  <si>
    <t>841060123229</t>
  </si>
  <si>
    <t>Hippie Rose Juniors Crisscross-Back High- Retro Marooon S</t>
  </si>
  <si>
    <t>841060123298</t>
  </si>
  <si>
    <t>Hippie Rose Juniors Striped Crisscross-Ba Wicked Combo L</t>
  </si>
  <si>
    <t>746194687169</t>
  </si>
  <si>
    <t>Material Girl Juniors Cap-Sleeve Bodysuit Black XS</t>
  </si>
  <si>
    <t>889602128134</t>
  </si>
  <si>
    <t>Jessica Simpson Juniors Logo Jogger Pants Deep Carrbean M</t>
  </si>
  <si>
    <t>695532480828</t>
  </si>
  <si>
    <t>Ultra Flirt Juniors Sleeveless Mock-Neck Olive S</t>
  </si>
  <si>
    <t>889901060265</t>
  </si>
  <si>
    <t>Hooked Up by IOT Juniors Colorblock Zip-Pocket Dark Grey M</t>
  </si>
  <si>
    <t>695532480712</t>
  </si>
  <si>
    <t>Ultra Flirt Juniors Sleeveless Mock-Neck Black XS</t>
  </si>
  <si>
    <t>705143716930</t>
  </si>
  <si>
    <t>Energie Juniors Poppy Cropped Pull-On Heather Grey XS</t>
  </si>
  <si>
    <t>706256575988</t>
  </si>
  <si>
    <t>Material Girl Love Contrast Yoga Leggings BlackLeopard M</t>
  </si>
  <si>
    <t>706256694962</t>
  </si>
  <si>
    <t>Material Girl Active Juniors Graphic Leggin Heather Charcoal M</t>
  </si>
  <si>
    <t>706256695068</t>
  </si>
  <si>
    <t>Material Girl Active Juniors Colorblocked L Heather Charcoal M</t>
  </si>
  <si>
    <t>706256732480</t>
  </si>
  <si>
    <t>Material Girl Active Juniors Love Yoga Pant Black XXS</t>
  </si>
  <si>
    <t>706256694917</t>
  </si>
  <si>
    <t>Material Girl Juniors Graphic Jogger Pants Black M</t>
  </si>
  <si>
    <t>706256694924</t>
  </si>
  <si>
    <t>706256695044</t>
  </si>
  <si>
    <t>Material Girl Active Juniors Colorblocked L Heather Charcoal XS</t>
  </si>
  <si>
    <t>706255688788</t>
  </si>
  <si>
    <t>Material Girl Juniors Crisscross Cropped Ac Flashmode XL</t>
  </si>
  <si>
    <t>M6541FM212</t>
  </si>
  <si>
    <t>887069476188</t>
  </si>
  <si>
    <t>Pink Rose Juniors Rib-Knit Mock-Neck Pu Claret Red L</t>
  </si>
  <si>
    <t>887069474931</t>
  </si>
  <si>
    <t>Pink Rose Juniors Rib-Knit Fine-Gauge S Forest Olive L</t>
  </si>
  <si>
    <t>887069474948</t>
  </si>
  <si>
    <t>Pink Rose Juniors Rib-Knit Fine-Gauge S Forest Olive XL</t>
  </si>
  <si>
    <t>887069476218</t>
  </si>
  <si>
    <t>Pink Rose Juniors Rib-Knit Mock-Neck Pu Forest Olive S</t>
  </si>
  <si>
    <t>887069474986</t>
  </si>
  <si>
    <t>Pink Rose Juniors Rib-Knit Fine-Gauge S Medium Heather Grey L</t>
  </si>
  <si>
    <t>887069474795</t>
  </si>
  <si>
    <t>Pink Rose Juniors Cowl-Neck Marled Fine Mustard Seed XL</t>
  </si>
  <si>
    <t>887069476096</t>
  </si>
  <si>
    <t>Pink Rose Juniors Rib-Knit Mock-Neck Pu Black XL</t>
  </si>
  <si>
    <t>887069476065</t>
  </si>
  <si>
    <t>Pink Rose Juniors Rib-Knit Mock-Neck Pu Black S</t>
  </si>
  <si>
    <t>887069476249</t>
  </si>
  <si>
    <t>Pink Rose Juniors Rib-Knit Mock-Neck Pu Forest Olive XL</t>
  </si>
  <si>
    <t>660032592708</t>
  </si>
  <si>
    <t>One Clothing Juniors Sequin Ruffle-Hem Tan Gold L</t>
  </si>
  <si>
    <t>841060124349</t>
  </si>
  <si>
    <t>Hippie Rose Juniors Long-Sleeve Coccoon C Mountain Blue L</t>
  </si>
  <si>
    <t>705143698939</t>
  </si>
  <si>
    <t>Energie Juniors Molly V-Neck Textured Caviar S</t>
  </si>
  <si>
    <t>705143698892</t>
  </si>
  <si>
    <t>Energie Juniors Molly V-Neck Textured Boysenberry XS</t>
  </si>
  <si>
    <t>705143698854</t>
  </si>
  <si>
    <t>Energie Juniors Molly V-Neck Textured Boysenberry L</t>
  </si>
  <si>
    <t>889901064294</t>
  </si>
  <si>
    <t>Hooked Up by IOT Juniors Rib-Knit Zipper-Back Vino L</t>
  </si>
  <si>
    <t>889901063273</t>
  </si>
  <si>
    <t>Hooked Up by IOT Juniors Cowl-Neck Pullover Sw Black XXS</t>
  </si>
  <si>
    <t>J62196M</t>
  </si>
  <si>
    <t>889901064492</t>
  </si>
  <si>
    <t>Its Our Time Juniors Marled Rib-Knit Zip-B Thyme GreenGreen M</t>
  </si>
  <si>
    <t>J61412M</t>
  </si>
  <si>
    <t>889901063372</t>
  </si>
  <si>
    <t>Hooked Up by IOT Juniors Cowl-Neck Pullover Sw Faded Indigo M</t>
  </si>
  <si>
    <t>889901064508</t>
  </si>
  <si>
    <t>Its Our Time Juniors Marled Rib-Knit Zip-B Thyme GreenGreen L</t>
  </si>
  <si>
    <t>841060125124</t>
  </si>
  <si>
    <t>Hippie Rose Juniors Dolman-Sleeve Graphic Mountain Blue Combo S</t>
  </si>
  <si>
    <t>705143707136</t>
  </si>
  <si>
    <t>Energie Active Juniors Tapered Jogger Ink BlueCaviar XS</t>
  </si>
  <si>
    <t>841060125148</t>
  </si>
  <si>
    <t>Hippie Rose Juniors Dolman-Sleeve Graphic Mountain Blue Combo L</t>
  </si>
  <si>
    <t>841060125131</t>
  </si>
  <si>
    <t>Hippie Rose Juniors Dolman-Sleeve Graphic Mountain Blue Combo M</t>
  </si>
  <si>
    <t>841060125117</t>
  </si>
  <si>
    <t>Hippie Rose Juniors Dolman-Sleeve Graphic Mountain Blue Combo XS</t>
  </si>
  <si>
    <t>705143698649</t>
  </si>
  <si>
    <t>Energie Juniors Willow Textured-Strip Dark Heather XL</t>
  </si>
  <si>
    <t>705143698748</t>
  </si>
  <si>
    <t>Energie Juniors Willow Textured-Strip Inky Blue M</t>
  </si>
  <si>
    <t>705143698779</t>
  </si>
  <si>
    <t>Energie Juniors Willow Textured-Strip Inky Blue XS</t>
  </si>
  <si>
    <t>887854012492</t>
  </si>
  <si>
    <t>Miss Chievous Juniors Embellished Pleated C Candy Apple L</t>
  </si>
  <si>
    <t>JC3193W373</t>
  </si>
  <si>
    <t>190371272400</t>
  </si>
  <si>
    <t>Bioworld Juniors Harry Potter Hogwarts Heather Grey L</t>
  </si>
  <si>
    <t>OW3VHIHPT</t>
  </si>
  <si>
    <t>695532437600</t>
  </si>
  <si>
    <t>Ultra Flirt Juniors Marled High-Low Pullo Oatmeal M</t>
  </si>
  <si>
    <t>695532437617</t>
  </si>
  <si>
    <t>Ultra Flirt Juniors Marled High-Low Pullo Oatmeal L</t>
  </si>
  <si>
    <t>695532443427</t>
  </si>
  <si>
    <t>Ultra Flirt Juniors Cocoon-Hem Cardigan Black XL</t>
  </si>
  <si>
    <t>637677212759</t>
  </si>
  <si>
    <t>Belle Du Jour Juniors Lace-Trim Cage-Front Black S</t>
  </si>
  <si>
    <t>190040298939</t>
  </si>
  <si>
    <t>Almost Famous Juniors Ribbed-Panel Button-D Wine XS</t>
  </si>
  <si>
    <t>ZN8030-4348-1220-MC</t>
  </si>
  <si>
    <t>190040298977</t>
  </si>
  <si>
    <t>Almost Famous Juniors Ribbed-Panel Button-D Wine XL</t>
  </si>
  <si>
    <t>190040298946</t>
  </si>
  <si>
    <t>Almost Famous Juniors Ribbed-Panel Button-D Wine S</t>
  </si>
  <si>
    <t>190040298960</t>
  </si>
  <si>
    <t>Almost Famous Juniors Ribbed-Panel Button-D Wine L</t>
  </si>
  <si>
    <t>695532491725</t>
  </si>
  <si>
    <t>Ultra Flirt Juniors Mock-Neck Marled Shif MaroonGardenia S</t>
  </si>
  <si>
    <t>5N67MC</t>
  </si>
  <si>
    <t>190040298953</t>
  </si>
  <si>
    <t>Almost Famous Juniors Ribbed-Panel Button-D Wine M</t>
  </si>
  <si>
    <t>695532486936</t>
  </si>
  <si>
    <t>Ultra Flirt Juniors Waffle-Knit Stripe-Sl CharcoalBridal Rose L</t>
  </si>
  <si>
    <t>695532487186</t>
  </si>
  <si>
    <t>Ultra Flirt Juniors Scoop-Back Pullover T Chevron Black L</t>
  </si>
  <si>
    <t>695532481948</t>
  </si>
  <si>
    <t>Ultra Flirt Juniors Rugby T-Shirt Dress Olive XL</t>
  </si>
  <si>
    <t>190344542677</t>
  </si>
  <si>
    <t>Disney Juniors Disney Moana Images L Pearl M</t>
  </si>
  <si>
    <t>JS3847JDY4932</t>
  </si>
  <si>
    <t>190344267013</t>
  </si>
  <si>
    <t>Hybrid Juniors Graphic Raglan T-Shir WhiteNavy M</t>
  </si>
  <si>
    <t>746194690275</t>
  </si>
  <si>
    <t>Rampage Juniors Drop-Shoulder Cupcake Light Heather Grey S</t>
  </si>
  <si>
    <t>746194690251</t>
  </si>
  <si>
    <t>Rampage Juniors Drop-Shoulder Cupcake Light Heather Grey XS</t>
  </si>
  <si>
    <t>190371327209</t>
  </si>
  <si>
    <t>Harry Potter Juniors Hufflepuff Graphic Ri Charcoal Heather XS</t>
  </si>
  <si>
    <t>RI4S1AHPT</t>
  </si>
  <si>
    <t>190371313387</t>
  </si>
  <si>
    <t>Bioworld Fantastic Beasts Juniors Noma White L</t>
  </si>
  <si>
    <t>190371327216</t>
  </si>
  <si>
    <t>Harry Potter Juniors Hufflepuff Graphic Ri Charcoal Heather S</t>
  </si>
  <si>
    <t>705143602905</t>
  </si>
  <si>
    <t>Energie Juniors Scoop-Neck Top Caviar L</t>
  </si>
  <si>
    <t>705143667409</t>
  </si>
  <si>
    <t>Energie Juniors Scoop-Neck Top Caviar XXS</t>
  </si>
  <si>
    <t>705143602936</t>
  </si>
  <si>
    <t>Energie Juniors Scoop-Neck Top Caviar XL</t>
  </si>
  <si>
    <t>821942425160</t>
  </si>
  <si>
    <t>Planet Gold Juniors Rib-Knit Cold-Shoulde Egret XL</t>
  </si>
  <si>
    <t>889775097404</t>
  </si>
  <si>
    <t>American Rag Trendy Plus Size Ripped Cresce Crescent Wash 24W</t>
  </si>
  <si>
    <t>P6HD47</t>
  </si>
  <si>
    <t>661414513328</t>
  </si>
  <si>
    <t>Teeze Me Juniors Glitter Bodycon Scuba GoldBlack L</t>
  </si>
  <si>
    <t>H313844</t>
  </si>
  <si>
    <t>829092303833</t>
  </si>
  <si>
    <t>XOXO Juniors Velvet Illusion Dress Black XL</t>
  </si>
  <si>
    <t>9707VNV5</t>
  </si>
  <si>
    <t>708008367940</t>
  </si>
  <si>
    <t>City Studios Juniors Sequin Lace Party Dre Gold 11</t>
  </si>
  <si>
    <t>3748RY2AT3</t>
  </si>
  <si>
    <t>889775095912</t>
  </si>
  <si>
    <t>American Rag Lace-Bodice Printed Halter Dre Canyon Sun XXS</t>
  </si>
  <si>
    <t>6HW71B</t>
  </si>
  <si>
    <t>822982636721</t>
  </si>
  <si>
    <t>Jessica Simpson Hyne Bell-Sleeve Sweater Black L</t>
  </si>
  <si>
    <t>713701112421</t>
  </si>
  <si>
    <t>Material Girl Juniors 2-Pc. Lace-Trim Slip Zinfandel Combo L</t>
  </si>
  <si>
    <t>887840220221</t>
  </si>
  <si>
    <t>Emerald Sundae Juniors Shine Sweetheart Body Royal Blue L</t>
  </si>
  <si>
    <t>822982634239</t>
  </si>
  <si>
    <t>Jessica Simpson Avenia Cuffed Straight-Leg Pan Navy 30</t>
  </si>
  <si>
    <t>887840202678</t>
  </si>
  <si>
    <t>Emerald Sundae Juniors Contrast Lace Bodycon SilverBlack XXS</t>
  </si>
  <si>
    <t>BVM2752012</t>
  </si>
  <si>
    <t>889775097282</t>
  </si>
  <si>
    <t>American Rag Trendy Plus Size Ripped Denim Crescent 24W</t>
  </si>
  <si>
    <t>889775093673</t>
  </si>
  <si>
    <t>889775095530</t>
  </si>
  <si>
    <t>LS SMIX INHRT FLRL T</t>
  </si>
  <si>
    <t>6HW02B</t>
  </si>
  <si>
    <t>889631053568</t>
  </si>
  <si>
    <t>Crystal Doll Juniors Illusion V-Neck Bodyc Black 9</t>
  </si>
  <si>
    <t>MKU8269I</t>
  </si>
  <si>
    <t>822982620942</t>
  </si>
  <si>
    <t>Jessica Simpson Ciro Pointelle-Knit Cold-Shoul Black S</t>
  </si>
  <si>
    <t>886998513254</t>
  </si>
  <si>
    <t>American Rag Trendy Plus Size Off-The-Shoul Deep Teal 3X</t>
  </si>
  <si>
    <t>652874831145</t>
  </si>
  <si>
    <t>Speechless Juniors Ruffled Fit Flare D Royal Blue XS</t>
  </si>
  <si>
    <t>888825951383</t>
  </si>
  <si>
    <t>Material Girl Juniors Side-Slit Turtleneck Grey S</t>
  </si>
  <si>
    <t>80036MG</t>
  </si>
  <si>
    <t>826410535327</t>
  </si>
  <si>
    <t>BCX Juniors Off-The-Shoulder Fit Medium Blue XL</t>
  </si>
  <si>
    <t>847250080051</t>
  </si>
  <si>
    <t>Material Girl Juniors Striped One-Shoulder Black Combo XXS</t>
  </si>
  <si>
    <t>20218MG</t>
  </si>
  <si>
    <t>713701116634</t>
  </si>
  <si>
    <t>791093382318</t>
  </si>
  <si>
    <t>SHIFT Juniors Crushed Velvet Slip D Silver L</t>
  </si>
  <si>
    <t>791093382714</t>
  </si>
  <si>
    <t>SHIFT Juniors Sheer Metallic Pencil BlackSilver L</t>
  </si>
  <si>
    <t>887043734433</t>
  </si>
  <si>
    <t>WINT SKINNY BOYFRIEND 29"</t>
  </si>
  <si>
    <t>CX21342A93</t>
  </si>
  <si>
    <t>784645265337</t>
  </si>
  <si>
    <t>Sequin Hearts Juniors Printed Off-The-Shoul Peach L</t>
  </si>
  <si>
    <t>4197LD1D</t>
  </si>
  <si>
    <t>888825957170</t>
  </si>
  <si>
    <t>Material Girl Juniors Wrap-Front Rib-Knit S Charcoal L</t>
  </si>
  <si>
    <t>80035MG</t>
  </si>
  <si>
    <t>889775091037</t>
  </si>
  <si>
    <t>796396299257</t>
  </si>
  <si>
    <t>Jump Juniors Cold-Shoulder Party D Black XL</t>
  </si>
  <si>
    <t>884630083745</t>
  </si>
  <si>
    <t>Monteau Trendy Plus Size Scalloped Fit Black 1X</t>
  </si>
  <si>
    <t>889775065106</t>
  </si>
  <si>
    <t>DARK TWL HIRSE ROLL SHORT</t>
  </si>
  <si>
    <t>6BN92</t>
  </si>
  <si>
    <t>708008372111</t>
  </si>
  <si>
    <t>City Studios Juniors Printed Mock-Neck Shi Black M</t>
  </si>
  <si>
    <t>KME7305BD2</t>
  </si>
  <si>
    <t>829092300863</t>
  </si>
  <si>
    <t>RED RAW EDGE CHIFFON BAC</t>
  </si>
  <si>
    <t>826410387056</t>
  </si>
  <si>
    <t>BCX Juniors Trousers White 3</t>
  </si>
  <si>
    <t>706256918105</t>
  </si>
  <si>
    <t>706256918051</t>
  </si>
  <si>
    <t>SHINE WORKOUT JACKET</t>
  </si>
  <si>
    <t>M61151</t>
  </si>
  <si>
    <t>706256918044</t>
  </si>
  <si>
    <t>889775093376</t>
  </si>
  <si>
    <t>889775092997</t>
  </si>
  <si>
    <t>American Rag Lace-Inset High-Low Peasant To Classic Black XS</t>
  </si>
  <si>
    <t>889775094403</t>
  </si>
  <si>
    <t>CRCL CRH SLV SWT TNK</t>
  </si>
  <si>
    <t>6HT09</t>
  </si>
  <si>
    <t>768594176562</t>
  </si>
  <si>
    <t>STR KNT OF SHLDR DRS</t>
  </si>
  <si>
    <t>2583AR</t>
  </si>
  <si>
    <t>674153686369</t>
  </si>
  <si>
    <t>Say What Sleeveless Sweater Dress SilverBlack XS</t>
  </si>
  <si>
    <t>841413126372</t>
  </si>
  <si>
    <t>OhMG Juniors Yaasss Sequin Pullove BlackRed XL</t>
  </si>
  <si>
    <t>889631050260</t>
  </si>
  <si>
    <t>BERR OFF THE SHOULDER POP</t>
  </si>
  <si>
    <t>MAS11875I</t>
  </si>
  <si>
    <t>887043728807</t>
  </si>
  <si>
    <t>Celebrity Pink Juniors Skinny Ankle Jeans Optic White 11</t>
  </si>
  <si>
    <t>CJ22005H50</t>
  </si>
  <si>
    <t>826409526855</t>
  </si>
  <si>
    <t>WHT ZIP RLL SLV</t>
  </si>
  <si>
    <t>1027V0C</t>
  </si>
  <si>
    <t>826410928198</t>
  </si>
  <si>
    <t>BCX Juniors Tie-Front Blouse White S</t>
  </si>
  <si>
    <t>106949G</t>
  </si>
  <si>
    <t>887400720178</t>
  </si>
  <si>
    <t>Eyeshadow Trendy Plus Size Sheer Cold-Sh Victorian Grey 1X</t>
  </si>
  <si>
    <t>887400720147</t>
  </si>
  <si>
    <t>Eyeshadow Trendy Plus Size Sheer Cold-Sh Black 1X</t>
  </si>
  <si>
    <t>889901163713</t>
  </si>
  <si>
    <t>Hooked Up by IOT Juniors Sequin Owl Pullover S Oatmeal Heather L</t>
  </si>
  <si>
    <t>J63871M</t>
  </si>
  <si>
    <t>889901163683</t>
  </si>
  <si>
    <t>Hooked Up by IOT Juniors Sequin Owl Pullover S Oatmeal Heather XS</t>
  </si>
  <si>
    <t>190040312284</t>
  </si>
  <si>
    <t>Almost Famous Juniors Striped Fringe Waterf GreyBlack L</t>
  </si>
  <si>
    <t>190040312277</t>
  </si>
  <si>
    <t>Almost Famous Juniors Striped Fringe Waterf GreyBlack M</t>
  </si>
  <si>
    <t>190040312420</t>
  </si>
  <si>
    <t>Almost Famous Juniors Striped Fringe Waterf SagePink XL</t>
  </si>
  <si>
    <t>190040312406</t>
  </si>
  <si>
    <t>Almost Famous Juniors Striped Fringe Waterf SagePink M</t>
  </si>
  <si>
    <t>190040312239</t>
  </si>
  <si>
    <t>Almost Famous Juniors Striped Fringe Waterf BlackRed L</t>
  </si>
  <si>
    <t>768594155222</t>
  </si>
  <si>
    <t>RBD BTN FRNT LY TEE</t>
  </si>
  <si>
    <t>78310AR</t>
  </si>
  <si>
    <t>889775110233</t>
  </si>
  <si>
    <t>768594155253</t>
  </si>
  <si>
    <t>645545917309</t>
  </si>
  <si>
    <t>Material Girl Juniors Graphic Pullover Hood Heather Charcoal L</t>
  </si>
  <si>
    <t>841060126091</t>
  </si>
  <si>
    <t>Hippie Rose Juniors Lace-Trim Asymmetrica Western Sage L</t>
  </si>
  <si>
    <t>889901060227</t>
  </si>
  <si>
    <t>Hooked Up by IOT Juniors Colorblock Zip-Pocket BlackWhite Colorblock L</t>
  </si>
  <si>
    <t>637677233426</t>
  </si>
  <si>
    <t>Belle Du Jour Juniors Cardigan, T-Shirt and Deep Merlot L</t>
  </si>
  <si>
    <t>637677237127</t>
  </si>
  <si>
    <t>Belle Du Jour Juniors Cardigan, T-Shirt and Heather Oatmeal L</t>
  </si>
  <si>
    <t>637677242947</t>
  </si>
  <si>
    <t>Belle Du Jour Juniors Cardigan, T-Shirt and Everglade L</t>
  </si>
  <si>
    <t>1DFJELUJ</t>
  </si>
  <si>
    <t>637677233365</t>
  </si>
  <si>
    <t>Belle Du Jour Juniors Cardigan, T-Shirt and Patriot Blue M</t>
  </si>
  <si>
    <t>637677237134</t>
  </si>
  <si>
    <t>Belle Du Jour Juniors Cardigan, T-Shirt and Heather Oatmeal XL</t>
  </si>
  <si>
    <t>695532510563</t>
  </si>
  <si>
    <t>Ultra Flirt Juniors Twist Cold-Shoulder B Red M</t>
  </si>
  <si>
    <t>695532510419</t>
  </si>
  <si>
    <t>Ultra Flirt Juniors Twist Cold-Shoulder B Black S</t>
  </si>
  <si>
    <t>695532510396</t>
  </si>
  <si>
    <t>Ultra Flirt Juniors Twist Cold-Shoulder B Black XXS</t>
  </si>
  <si>
    <t>706256576428</t>
  </si>
  <si>
    <t>LOVE ELASTC CROP LEG</t>
  </si>
  <si>
    <t>M6O38NR212</t>
  </si>
  <si>
    <t>706256570914</t>
  </si>
  <si>
    <t>Material Girl Juniors Colorblock Yoga Leggi Classic Black S</t>
  </si>
  <si>
    <t>M6O47BK212</t>
  </si>
  <si>
    <t>706256895154</t>
  </si>
  <si>
    <t>706257141144</t>
  </si>
  <si>
    <t>706257020197</t>
  </si>
  <si>
    <t>889775093567</t>
  </si>
  <si>
    <t>190344450620</t>
  </si>
  <si>
    <t>Hybrid Juniors Despicable Me Bello G Pearl L</t>
  </si>
  <si>
    <t>JL3197JDME1954</t>
  </si>
  <si>
    <t>190344450613</t>
  </si>
  <si>
    <t>Hybrid Juniors Despicable Me Bello G Pearl M</t>
  </si>
  <si>
    <t>887409060701</t>
  </si>
  <si>
    <t>Polly Esther Juniors Plaid Button-Front Sh RedBlack S</t>
  </si>
  <si>
    <t>887409060404</t>
  </si>
  <si>
    <t>Polly Esther Juniors Plaid Button-Front Sh BlackBurgundy S</t>
  </si>
  <si>
    <t>889775092881</t>
  </si>
  <si>
    <t>889602143809</t>
  </si>
  <si>
    <t>Freshman Juniors Cloud Chaser Rib-Knit White Chocolate L</t>
  </si>
  <si>
    <t>889602143533</t>
  </si>
  <si>
    <t>Freshman Juniors Cloud Chaser Rib-Knit Crisp Merlot S</t>
  </si>
  <si>
    <t>889602143793</t>
  </si>
  <si>
    <t>Freshman Juniors Cloud Chaser Rib-Knit White Chocolate M</t>
  </si>
  <si>
    <t>889602143557</t>
  </si>
  <si>
    <t>Freshman Juniors Cloud Chaser Rib-Knit Crisp Merlot L</t>
  </si>
  <si>
    <t>889602143540</t>
  </si>
  <si>
    <t>Freshman Juniors Cloud Chaser Rib-Knit Crisp Merlot M</t>
  </si>
  <si>
    <t>889602143663</t>
  </si>
  <si>
    <t>Freshman Juniors Cloud Chaser Rib-Knit Light Heather Grey XL</t>
  </si>
  <si>
    <t>889602143656</t>
  </si>
  <si>
    <t>Freshman Juniors Cloud Chaser Rib-Knit Light Heather Grey L</t>
  </si>
  <si>
    <t>637677212407</t>
  </si>
  <si>
    <t>Belle Du Jour Juniors Celestial Metallic Gr Black L</t>
  </si>
  <si>
    <t>1BCVNSTK</t>
  </si>
  <si>
    <t>645545916715</t>
  </si>
  <si>
    <t>190371327438</t>
  </si>
  <si>
    <t>Bioworld Juniors Batman Graphic Baseba White L</t>
  </si>
  <si>
    <t>645545959934</t>
  </si>
  <si>
    <t>717960517065</t>
  </si>
  <si>
    <t>Extra Touch Trendy Plus Size Strappy-Back Blue Shadow 3X</t>
  </si>
  <si>
    <t>889387845165</t>
  </si>
  <si>
    <t>Trixxi Plus Size Sequin High-Low Maxi Blush 24W</t>
  </si>
  <si>
    <t>590726Y3KI</t>
  </si>
  <si>
    <t>796396923572</t>
  </si>
  <si>
    <t>Jump Juniors Illusion-Lace Halter Black 56</t>
  </si>
  <si>
    <t>796396923565</t>
  </si>
  <si>
    <t>Jump Juniors Illusion-Lace Halter Black 34</t>
  </si>
  <si>
    <t>889351709066</t>
  </si>
  <si>
    <t>Roxy Juniors Take Stock Lightweigh Blue XS</t>
  </si>
  <si>
    <t>889351709110</t>
  </si>
  <si>
    <t>Roxy Juniors Take Stock Lightweigh Dark Purple XS</t>
  </si>
  <si>
    <t>652874842066</t>
  </si>
  <si>
    <t>Speechless Juniors 2-Pc. Scalloped Scuba Royal Blue 7</t>
  </si>
  <si>
    <t>M94341DNE</t>
  </si>
  <si>
    <t>888825533381</t>
  </si>
  <si>
    <t>Material Girl Juniors Strapless Skinny-Leg Lipstick Red M</t>
  </si>
  <si>
    <t>GRA005SLR</t>
  </si>
  <si>
    <t>829092267302</t>
  </si>
  <si>
    <t>XOXO Juniors Studded Asymmetrical- Black XS</t>
  </si>
  <si>
    <t>9683HCK5</t>
  </si>
  <si>
    <t>708008366882</t>
  </si>
  <si>
    <t>City Studios Juniors Sequined Halter Bodyc GoldPeach 15</t>
  </si>
  <si>
    <t>829092291208</t>
  </si>
  <si>
    <t>XOXO Juniors Embellished Lace Shif Black S</t>
  </si>
  <si>
    <t>9715RL5</t>
  </si>
  <si>
    <t>708008366684</t>
  </si>
  <si>
    <t>City Studios Juniors Sequined Halter Bodyc GoldPeach 13</t>
  </si>
  <si>
    <t>829092278889</t>
  </si>
  <si>
    <t>XOXO Juniors Ombre Sequined Tunic Burgundy XL</t>
  </si>
  <si>
    <t>4296XFW</t>
  </si>
  <si>
    <t>889775069012</t>
  </si>
  <si>
    <t>American Rag Slim-Fit Ishana Wash Bootcut J Ishana Wash 9</t>
  </si>
  <si>
    <t>889775069104</t>
  </si>
  <si>
    <t>American Rag Slim-Fit Ishana Wash Bootcut J Ishana Wash 9S</t>
  </si>
  <si>
    <t>9 S</t>
  </si>
  <si>
    <t>889667350785</t>
  </si>
  <si>
    <t>ONeill Dominca Cold-Shoulder Shift Dr Nolita Wash M</t>
  </si>
  <si>
    <t>FA6416017</t>
  </si>
  <si>
    <t>829092280882</t>
  </si>
  <si>
    <t>XOXO Juniors Chiffon-Back Striped IvoryBlack L</t>
  </si>
  <si>
    <t>829092280912</t>
  </si>
  <si>
    <t>XOXO Juniors Chiffon-Back Striped IvoryBlack XL</t>
  </si>
  <si>
    <t>889775078694</t>
  </si>
  <si>
    <t>American Rag Colored Wash Super-Skinny Jean Zinfandel 0</t>
  </si>
  <si>
    <t>889775067513</t>
  </si>
  <si>
    <t>American Rag Colored Wash Super-Skinny Jean Woodrose 0</t>
  </si>
  <si>
    <t>829092299310</t>
  </si>
  <si>
    <t>XOXO Juniors Wide-Leg Trousers White 1314</t>
  </si>
  <si>
    <t>829092153452</t>
  </si>
  <si>
    <t>XOXO Juniors Printed Ankle-Length Cobalt 78</t>
  </si>
  <si>
    <t>829092153384</t>
  </si>
  <si>
    <t>XOXO Juniors Printed Ankle-Length Cobalt 1314</t>
  </si>
  <si>
    <t>713701110014</t>
  </si>
  <si>
    <t>American Rag Printed Cold-Shoulder Dress Blueprint M</t>
  </si>
  <si>
    <t>822982608087</t>
  </si>
  <si>
    <t>Jessica Simpson Adora Crocheted-Trim Top Medium Pink L</t>
  </si>
  <si>
    <t>889775067070</t>
  </si>
  <si>
    <t>American Rag Lace Handkerchief-Hem Peasant White XS</t>
  </si>
  <si>
    <t>6BK29EG</t>
  </si>
  <si>
    <t>829092200002</t>
  </si>
  <si>
    <t>XOXO Juniors Embellished V-Back To Cobalt XS</t>
  </si>
  <si>
    <t>52175941459</t>
  </si>
  <si>
    <t>Levis Lace-Trim T-Shirt White L</t>
  </si>
  <si>
    <t>887043604286</t>
  </si>
  <si>
    <t>Celebrity Pink Plus Size Burnt Red Wash Skinn Burnt Red 20W</t>
  </si>
  <si>
    <t>889901116733</t>
  </si>
  <si>
    <t>Its Our Time Trendy Plus Size Snowman Holid Blue Palace 3X</t>
  </si>
  <si>
    <t>J62538W</t>
  </si>
  <si>
    <t>713701106758</t>
  </si>
  <si>
    <t>Material Girl Juniors Lace Asymmetrical-Hem Black XXS</t>
  </si>
  <si>
    <t>20187MG</t>
  </si>
  <si>
    <t>713701095700</t>
  </si>
  <si>
    <t>American Rag Printed Waffle-Knit Lace-Trim Floral Print XXL</t>
  </si>
  <si>
    <t>884630082663</t>
  </si>
  <si>
    <t>Monteau Trendy Plus Size Lace Shift Dr Black 3X</t>
  </si>
  <si>
    <t>PL57619-A</t>
  </si>
  <si>
    <t>889351725059</t>
  </si>
  <si>
    <t>Roxy Juniors Weekend Escape Pullov Blue XS</t>
  </si>
  <si>
    <t>829092234991</t>
  </si>
  <si>
    <t>XOXO Juniors Button-Front Mini A-L Gold L</t>
  </si>
  <si>
    <t>826409524721</t>
  </si>
  <si>
    <t>BCX Juniors Lace-Up Cowl-Neck Swe White XL</t>
  </si>
  <si>
    <t>889775090764</t>
  </si>
  <si>
    <t>American Rag Ponte Zipper Leggings Charcoal M</t>
  </si>
  <si>
    <t>6FN37BCH</t>
  </si>
  <si>
    <t>887043645319</t>
  </si>
  <si>
    <t>Celebrity Pink Trendy Plus Size Colored Wash Potent Purple 18W</t>
  </si>
  <si>
    <t>826409643620</t>
  </si>
  <si>
    <t>BCX Juniors Crocheted Fringe-Trim White XXS</t>
  </si>
  <si>
    <t>826409694998</t>
  </si>
  <si>
    <t>BCX Juniors Lace-Sleeve Colorbloc Blush XS</t>
  </si>
  <si>
    <t>1090V8T</t>
  </si>
  <si>
    <t>746194692910</t>
  </si>
  <si>
    <t>Material Girl Juniors Off-The-Shoulder Body Black XS</t>
  </si>
  <si>
    <t>746194692859</t>
  </si>
  <si>
    <t>Material Girl Juniors Flocked Bodysuit Black XS</t>
  </si>
  <si>
    <t>746194692989</t>
  </si>
  <si>
    <t>Material Girl Juniors Off-The-Shoulder Body Black XXS</t>
  </si>
  <si>
    <t>884630070028</t>
  </si>
  <si>
    <t>Monteau Plus Size Sleeveless Striped F BlackOff White 2X</t>
  </si>
  <si>
    <t>PL57446</t>
  </si>
  <si>
    <t>632421485441</t>
  </si>
  <si>
    <t>Love Squared Plus Size Halter Cutout A-Line Black 1X</t>
  </si>
  <si>
    <t>INK239H3345</t>
  </si>
  <si>
    <t>887043679963</t>
  </si>
  <si>
    <t>Celebrity Pink Juniors Slimming Technology C Burnt Red 9</t>
  </si>
  <si>
    <t>617171306536</t>
  </si>
  <si>
    <t>ING Plus Size High-Low Top White 2X</t>
  </si>
  <si>
    <t>NTC193X-HDB</t>
  </si>
  <si>
    <t>746194687459</t>
  </si>
  <si>
    <t>Material Girl Juniors Flocked Mesh Bodysuit Black XS</t>
  </si>
  <si>
    <t>746194692071</t>
  </si>
  <si>
    <t>Material Girl Juniors Flocked Mesh Bodysuit Zinfandel L</t>
  </si>
  <si>
    <t>887043693952</t>
  </si>
  <si>
    <t>Celebrity Pink Juniors Paisley Metallic-Prin BlackPaisley Metallic Print 3</t>
  </si>
  <si>
    <t>632421333209</t>
  </si>
  <si>
    <t>Love Squared Plus Size Sleeveless Knotted M Berry 2X</t>
  </si>
  <si>
    <t>617171808870</t>
  </si>
  <si>
    <t>ING Plus Size Floral-Print Lace-He Navy Multi 1X</t>
  </si>
  <si>
    <t>826409830976</t>
  </si>
  <si>
    <t>BCX Juniors Lace-Back Zip-Front P White M</t>
  </si>
  <si>
    <t>1045T20</t>
  </si>
  <si>
    <t>791093319222</t>
  </si>
  <si>
    <t>UPC</t>
  </si>
  <si>
    <t>MED BLUE</t>
  </si>
  <si>
    <t>LEVI'S RTW</t>
  </si>
  <si>
    <t>LEVI STRAUSS</t>
  </si>
  <si>
    <t>BLACK</t>
  </si>
  <si>
    <t>S</t>
  </si>
  <si>
    <t>JESSICA SMPSN</t>
  </si>
  <si>
    <t>JESSICA SIMPSON/NINE WEST HOLDINGS</t>
  </si>
  <si>
    <t>LT/PASBLUE</t>
  </si>
  <si>
    <t>P6FD77B</t>
  </si>
  <si>
    <t>BLUE</t>
  </si>
  <si>
    <t>20W</t>
  </si>
  <si>
    <t>A-RAG PLUS</t>
  </si>
  <si>
    <t>AMERICAN RAG-EDI/TARRANT</t>
  </si>
  <si>
    <t>24W</t>
  </si>
  <si>
    <t>REDOVERFLW</t>
  </si>
  <si>
    <t>30X32</t>
  </si>
  <si>
    <t>CALVIN KLEIN</t>
  </si>
  <si>
    <t>CALVIN KLEIN JEANS/WARNACO GROUP</t>
  </si>
  <si>
    <t>42ZW157</t>
  </si>
  <si>
    <t>MED PINK</t>
  </si>
  <si>
    <t>M</t>
  </si>
  <si>
    <t>RED</t>
  </si>
  <si>
    <t>13</t>
  </si>
  <si>
    <t>JR SOC DRESS</t>
  </si>
  <si>
    <t>CITY TRIANGLES-JODI KRISTOPHER</t>
  </si>
  <si>
    <t>DARK RED</t>
  </si>
  <si>
    <t>ROXY</t>
  </si>
  <si>
    <t>ROXY/QUIKSILVER</t>
  </si>
  <si>
    <t>DARK BLUE</t>
  </si>
  <si>
    <t>3X</t>
  </si>
  <si>
    <t>AMERICAN RAG-EDI/ARAGUP</t>
  </si>
  <si>
    <t>1X</t>
  </si>
  <si>
    <t>LT/PAS GRY</t>
  </si>
  <si>
    <t>JUMP APPAREL</t>
  </si>
  <si>
    <t>CHARCOAL</t>
  </si>
  <si>
    <t>XOXO</t>
  </si>
  <si>
    <t>XOXO DRESS DIV/KELLWOOD COMPANY</t>
  </si>
  <si>
    <t>WINE</t>
  </si>
  <si>
    <t>LARGE</t>
  </si>
  <si>
    <t>AMERCN RAG JR</t>
  </si>
  <si>
    <t>IN AWE</t>
  </si>
  <si>
    <t>JAYA APPAREL GROUP/JAYA APPAREL GRO</t>
  </si>
  <si>
    <t>AMERICAN RAG-MMG/TARRANT</t>
  </si>
  <si>
    <t>889775098081</t>
  </si>
  <si>
    <t>American Rag Trendy Plus Size Floral-Print Oatmeal Combo 3X</t>
  </si>
  <si>
    <t>P6SX21D</t>
  </si>
  <si>
    <t>LT BEIGE</t>
  </si>
  <si>
    <t>2X</t>
  </si>
  <si>
    <t>AMERICAN RAG-EDI/LA MAMBA LLC</t>
  </si>
  <si>
    <t>XS</t>
  </si>
  <si>
    <t>MTRL GRL/QTN</t>
  </si>
  <si>
    <t>MATERIAL GIRL-EDI/TOPSON DOWNS/MMG</t>
  </si>
  <si>
    <t>NAVY</t>
  </si>
  <si>
    <t>PINK</t>
  </si>
  <si>
    <t>XXS</t>
  </si>
  <si>
    <t>BEIGE</t>
  </si>
  <si>
    <t>BEE DARLIN' INC</t>
  </si>
  <si>
    <t>AMERICAN RAG-EDI/ARAGTOPD</t>
  </si>
  <si>
    <t>3</t>
  </si>
  <si>
    <t>JUNIOR DRESS</t>
  </si>
  <si>
    <t>XL</t>
  </si>
  <si>
    <t>829092299204</t>
  </si>
  <si>
    <t>XOXO Juniors Wide-Leg Trousers Red 34</t>
  </si>
  <si>
    <t>8534TPR5</t>
  </si>
  <si>
    <t>MEDIUM RED</t>
  </si>
  <si>
    <t>768594155611</t>
  </si>
  <si>
    <t>American Rag Cami T-Shirt Dress Coral XS</t>
  </si>
  <si>
    <t>52648AR</t>
  </si>
  <si>
    <t>AMERICAN RAG-EDI/TEN SEXTY SHERMAN</t>
  </si>
  <si>
    <t>W04236AR</t>
  </si>
  <si>
    <t>WHITE</t>
  </si>
  <si>
    <t>AMERICAN RAG-EDI/ARAGBOG</t>
  </si>
  <si>
    <t>AMERICAN RAG-EDI/ARAGUFAB</t>
  </si>
  <si>
    <t>6SX21K</t>
  </si>
  <si>
    <t>6BW76</t>
  </si>
  <si>
    <t>GREEN</t>
  </si>
  <si>
    <t>889775090405</t>
  </si>
  <si>
    <t>American Rag Embellished Cold-Shoulder Peas Teal S</t>
  </si>
  <si>
    <t>I478504C4</t>
  </si>
  <si>
    <t>SECRET CHARM LLC</t>
  </si>
  <si>
    <t>P5MK60</t>
  </si>
  <si>
    <t>BRGHT PINK</t>
  </si>
  <si>
    <t>759880685318</t>
  </si>
  <si>
    <t>American Rag Juniors Button-Down Faux-Sued Tan 5</t>
  </si>
  <si>
    <t>T6146XARTA</t>
  </si>
  <si>
    <t>MED BROWN</t>
  </si>
  <si>
    <t>5 AV/MD/RG</t>
  </si>
  <si>
    <t>AMERICAN RAG-EDI/XOXO-KELLWOOD</t>
  </si>
  <si>
    <t>7 AV/MD/RG</t>
  </si>
  <si>
    <t>15</t>
  </si>
  <si>
    <t>829092284941</t>
  </si>
  <si>
    <t>XOXO Juniors Grommet-Trim Sweater Black M</t>
  </si>
  <si>
    <t>4800XER</t>
  </si>
  <si>
    <t>3457MGC3</t>
  </si>
  <si>
    <t>MATERIAL GIRL-EDI/ALL ACCESS AP/MMG</t>
  </si>
  <si>
    <t>EMERALD SUNDAE/WILD HORSES APPAREL</t>
  </si>
  <si>
    <t>887043695109</t>
  </si>
  <si>
    <t>Celebrity Pink Trendy Plus Size Intensions Wa Intensions 24W</t>
  </si>
  <si>
    <t>CX22032TS</t>
  </si>
  <si>
    <t>TRNDYPLUS CLS</t>
  </si>
  <si>
    <t>CELEBRITY PINK/2253 APPAREL INC</t>
  </si>
  <si>
    <t>CX21034PF</t>
  </si>
  <si>
    <t>18W</t>
  </si>
  <si>
    <t>T0312N5AR</t>
  </si>
  <si>
    <t>NATURAL</t>
  </si>
  <si>
    <t>6789KLI3</t>
  </si>
  <si>
    <t>GOLD</t>
  </si>
  <si>
    <t>829092301679</t>
  </si>
  <si>
    <t>XOXO Juniors Embellished High-Low Ivory S</t>
  </si>
  <si>
    <t>3546BLC5</t>
  </si>
  <si>
    <t>ING/NEWPORT APPAREL</t>
  </si>
  <si>
    <t>BRIGHTBLUE</t>
  </si>
  <si>
    <t>1094V0U</t>
  </si>
  <si>
    <t>BCX</t>
  </si>
  <si>
    <t>BCX/BYER CALIFORNIA</t>
  </si>
  <si>
    <t>826409611919</t>
  </si>
  <si>
    <t>BCX Juniors Sheer Belted A-Line D Multi XXS</t>
  </si>
  <si>
    <t>1139R7D</t>
  </si>
  <si>
    <t>WORK</t>
  </si>
  <si>
    <t>MATERIAL GIRL-MMG</t>
  </si>
  <si>
    <t>32</t>
  </si>
  <si>
    <t>746194692927</t>
  </si>
  <si>
    <t>Material Girl Juniors Off-The-Shoulder Body Black S</t>
  </si>
  <si>
    <t>20214MG</t>
  </si>
  <si>
    <t>MATERIAL GIRL-EDI/SPORTS PRODUCT OF</t>
  </si>
  <si>
    <t>20198MG</t>
  </si>
  <si>
    <t>MATERIAL GIRL-EDI/UNGERFABRIK-WEAVR</t>
  </si>
  <si>
    <t>20124MG</t>
  </si>
  <si>
    <t>2XL</t>
  </si>
  <si>
    <t>888825936076</t>
  </si>
  <si>
    <t>Material Girl Juniors Illusion Lace Bodysui Blush XXS</t>
  </si>
  <si>
    <t>888825945214</t>
  </si>
  <si>
    <t>Material Girl Lace-Up Rib-Knit Bodysuit Zinfandel S</t>
  </si>
  <si>
    <t>20127MG</t>
  </si>
  <si>
    <t>888825936083</t>
  </si>
  <si>
    <t>Material Girl Juniors Illusion Lace Bodysui Blush XS</t>
  </si>
  <si>
    <t>AFL7561BD2</t>
  </si>
  <si>
    <t>4902XFN3</t>
  </si>
  <si>
    <t>M6963HC212</t>
  </si>
  <si>
    <t>GRAY</t>
  </si>
  <si>
    <t>LOVE SQUARED/JUST FOR WRAPS INC</t>
  </si>
  <si>
    <t>FASHION TOPS</t>
  </si>
  <si>
    <t>FRESHMAN/RDG GLOBAL LLC</t>
  </si>
  <si>
    <t>20192MG</t>
  </si>
  <si>
    <t>BOTTOMS-JRS</t>
  </si>
  <si>
    <t>TINSELTOWN/TOPSON DOWNS OF CALIF</t>
  </si>
  <si>
    <t>617171808887</t>
  </si>
  <si>
    <t>ING Plus Size Floral-Print Lace-He Navy Multi 2X</t>
  </si>
  <si>
    <t>NTB548X-WPC</t>
  </si>
  <si>
    <t>9</t>
  </si>
  <si>
    <t>1039V6Y</t>
  </si>
  <si>
    <t>BRIGHT RED</t>
  </si>
  <si>
    <t>JUNIOR ACTIVE</t>
  </si>
  <si>
    <t>CJ20974A31</t>
  </si>
  <si>
    <t>1</t>
  </si>
  <si>
    <t>MYB019230</t>
  </si>
  <si>
    <t>0</t>
  </si>
  <si>
    <t>DARK GRAY</t>
  </si>
  <si>
    <t>5</t>
  </si>
  <si>
    <t>MYB019618</t>
  </si>
  <si>
    <t>0YVMAJAY</t>
  </si>
  <si>
    <t>SWEATERS-JRS</t>
  </si>
  <si>
    <t>BELLE DU JOUR/ALL ACCESS APPAREL</t>
  </si>
  <si>
    <t>EYE SHADOW/STONY APPAREL CORP</t>
  </si>
  <si>
    <t>CJ20974F57</t>
  </si>
  <si>
    <t>7</t>
  </si>
  <si>
    <t>888825991747</t>
  </si>
  <si>
    <t>Tinseltown Juniors Black Wash Skinny Mot Black 11</t>
  </si>
  <si>
    <t>MYB019617</t>
  </si>
  <si>
    <t>11</t>
  </si>
  <si>
    <t>888825991822</t>
  </si>
  <si>
    <t>Tinseltown Juniors Moto Burgundy Wash Sk Burgundy 9</t>
  </si>
  <si>
    <t>OH MG!/REUNITED LLC</t>
  </si>
  <si>
    <t>DARKPURPLE</t>
  </si>
  <si>
    <t>HIPPIE ROSE LLC</t>
  </si>
  <si>
    <t>619720901179</t>
  </si>
  <si>
    <t>Be Bop Juniors Printed Tie-Neck Romp MaroonMulti XL</t>
  </si>
  <si>
    <t>JFSES004304</t>
  </si>
  <si>
    <t>SECOND GENERATION</t>
  </si>
  <si>
    <t>889602128547</t>
  </si>
  <si>
    <t>Jessica Simpson Juniors Pullover Hoodie Italian Plum S</t>
  </si>
  <si>
    <t>3K31959MC</t>
  </si>
  <si>
    <t>PURPLE</t>
  </si>
  <si>
    <t>BEBOP/SECOND GENERATION</t>
  </si>
  <si>
    <t>J61379M</t>
  </si>
  <si>
    <t>HOOKED UP BY IOT/FASHION AVE KNITS</t>
  </si>
  <si>
    <t>ENERGIE/NINE WEST HOLDINGS</t>
  </si>
  <si>
    <t>MMXIII/PROJECT 28 CLOTHING LLC</t>
  </si>
  <si>
    <t>6K89MC</t>
  </si>
  <si>
    <t>ULTRAFLIRT BY IKEDDI/IKEDDI ENTERPR</t>
  </si>
  <si>
    <t>20182MG</t>
  </si>
  <si>
    <t>889602128288</t>
  </si>
  <si>
    <t>Jessica Simpson Juniors Logo Jogger Pants Italian Plum L</t>
  </si>
  <si>
    <t>3K31964MC</t>
  </si>
  <si>
    <t>BRNOVERFLW</t>
  </si>
  <si>
    <t>BGEOVERFLW</t>
  </si>
  <si>
    <t>695532480798</t>
  </si>
  <si>
    <t>Ultra Flirt Juniors Sleeveless Mock-Neck Gardenia L</t>
  </si>
  <si>
    <t>6AC31MC</t>
  </si>
  <si>
    <t>LT/PASPINK</t>
  </si>
  <si>
    <t>DARK GREEN</t>
  </si>
  <si>
    <t>MEDIUN RED</t>
  </si>
  <si>
    <t>PINK ROSE/PAPER CUT CLOTHING LLC</t>
  </si>
  <si>
    <t>416-JS422</t>
  </si>
  <si>
    <t>MED GRAY</t>
  </si>
  <si>
    <t>BASICS&amp;SCRN T</t>
  </si>
  <si>
    <t>FREEZE/CENTRAL MILLS</t>
  </si>
  <si>
    <t>H6F0105M</t>
  </si>
  <si>
    <t>LT/PAS RED</t>
  </si>
  <si>
    <t>JOLT/MY MICHELLE/KELLWOOD CO</t>
  </si>
  <si>
    <t>H6F0106M</t>
  </si>
  <si>
    <t>WVSJ098-8J74</t>
  </si>
  <si>
    <t>SILVER</t>
  </si>
  <si>
    <t>M61207</t>
  </si>
  <si>
    <t>BRIGHT PUR</t>
  </si>
  <si>
    <t>M61122</t>
  </si>
  <si>
    <t>M61128</t>
  </si>
  <si>
    <t>M61117</t>
  </si>
  <si>
    <t>MED PURPLE</t>
  </si>
  <si>
    <t>PF610387</t>
  </si>
  <si>
    <t>ESPRESSO</t>
  </si>
  <si>
    <t>H6F0136</t>
  </si>
  <si>
    <t>PRETTY REBELLIOUS/MIKEN CLOTHING</t>
  </si>
  <si>
    <t>J50451M</t>
  </si>
  <si>
    <t>JF9924S242</t>
  </si>
  <si>
    <t>MISS CHIEVOUS/AROUND THE WORLD APP</t>
  </si>
  <si>
    <t>H6F0132</t>
  </si>
  <si>
    <t>PLANET GOLD/GOLDEN TOUCH IMPORTS</t>
  </si>
  <si>
    <t>MIGHTY FINE INC</t>
  </si>
  <si>
    <t>HYBRID APPAREL/HYBRID PROMOTIONS</t>
  </si>
  <si>
    <t>887854011273</t>
  </si>
  <si>
    <t>Miss Chievous Juniors Lace-Trim V-Neck Tuni Shadow L</t>
  </si>
  <si>
    <t>887854011129</t>
  </si>
  <si>
    <t>Miss Chievous Juniors Lace-Trim V-Neck Tuni Faded Fatigue M</t>
  </si>
  <si>
    <t>LT/PAS GRN</t>
  </si>
  <si>
    <t>H6F0133</t>
  </si>
  <si>
    <t>YOUNIQUE/TURN ON PRODUCTS INC</t>
  </si>
  <si>
    <t>705143713762</t>
  </si>
  <si>
    <t>Energie Active Juniors Fleece Vest an Caviar Space DyeGrey S</t>
  </si>
  <si>
    <t>MED GREEN</t>
  </si>
  <si>
    <t>705143713779</t>
  </si>
  <si>
    <t>Energie Active Juniors Fleece Vest an Caviar Space DyeGrey XL</t>
  </si>
  <si>
    <t>RG4NEWDCO</t>
  </si>
  <si>
    <t>MARKET/BIOWORLD MERCHANDISING</t>
  </si>
  <si>
    <t>A2JD648</t>
  </si>
  <si>
    <t>PLANET GOLD CLOTHING/GOLDEN TOUCH</t>
  </si>
  <si>
    <t>DARK PINK</t>
  </si>
  <si>
    <t>AWAKE/HYBRID PROMOTIONS</t>
  </si>
  <si>
    <t>6AA16MC</t>
  </si>
  <si>
    <t>MATERIAL GIRL-EDI/PINK ROSE</t>
  </si>
  <si>
    <t>BUCK</t>
  </si>
  <si>
    <t>BRIGHT GRN</t>
  </si>
  <si>
    <t>695532480934</t>
  </si>
  <si>
    <t>Ultra Flirt Juniors Cowl-Neck Waffle-Knit Black M</t>
  </si>
  <si>
    <t>3C485MC</t>
  </si>
  <si>
    <t>LT/PAS PUR</t>
  </si>
  <si>
    <t>695532481023</t>
  </si>
  <si>
    <t>Ultra Flirt Juniors Cowl-Neck Waffle-Knit Grey S</t>
  </si>
  <si>
    <t>NEW WORLD SALES</t>
  </si>
  <si>
    <t>SMALL S/S</t>
  </si>
  <si>
    <t>RAMPAGE/SPORTS PRODUCTS OF AMERICA</t>
  </si>
  <si>
    <t>2-KUHL/NTD APPAREL INC</t>
  </si>
  <si>
    <t>IA2595JWAM</t>
  </si>
  <si>
    <t>M61246</t>
  </si>
  <si>
    <t>645545934726</t>
  </si>
  <si>
    <t>Material Girl Juniors Strappy Graphic Tank Heather Charcoal L</t>
  </si>
  <si>
    <t>645545931497</t>
  </si>
  <si>
    <t>Material Girl Active Juniors Graphic Tank T Hot Chilli L</t>
  </si>
  <si>
    <t>M61107</t>
  </si>
  <si>
    <t>PNSJR58-8K75</t>
  </si>
  <si>
    <t>33U00MC</t>
  </si>
  <si>
    <t>887648661530</t>
  </si>
  <si>
    <t>Peanuts Juniors Peanuts Presents Grap WhiteBlack S</t>
  </si>
  <si>
    <t>887648661523</t>
  </si>
  <si>
    <t>Peanuts Juniors Peanuts Presents Grap WhiteBlack XS</t>
  </si>
  <si>
    <t>190344266993</t>
  </si>
  <si>
    <t>Hybrid Juniors Graphic Raglan T-Shir WhiteNavy XS</t>
  </si>
  <si>
    <t>J1867UBC946</t>
  </si>
  <si>
    <t>190344240108</t>
  </si>
  <si>
    <t>Hybrid Juniors Clueless Graphic T-Sh Heather Grey XL</t>
  </si>
  <si>
    <t>JS3674JPMT0126</t>
  </si>
  <si>
    <t>J2015JTRL0087</t>
  </si>
  <si>
    <t>887648644601</t>
  </si>
  <si>
    <t>Trolls by DreamWorks Juniors Trolls Graphic Raglan WhiteGrey Heather XS</t>
  </si>
  <si>
    <t>TJSJ045-8K75</t>
  </si>
  <si>
    <t>746194690145</t>
  </si>
  <si>
    <t>Rampage Juniors Drop-Shoulder Dreamca Pink Heather M</t>
  </si>
  <si>
    <t>RHT425</t>
  </si>
  <si>
    <t>746194690459</t>
  </si>
  <si>
    <t>Rampage Juniors Drop-Shoulder Emoji G Lilac M</t>
  </si>
  <si>
    <t>746194690442</t>
  </si>
  <si>
    <t>Rampage Juniors Drop-Shoulder Emoji G Lilac L</t>
  </si>
  <si>
    <t>746194690299</t>
  </si>
  <si>
    <t>Rampage Juniors Drop-Shoulder Cupcake Light Heather Grey L</t>
  </si>
  <si>
    <t>XA3114JX6902</t>
  </si>
  <si>
    <t>XA3114JX6903</t>
  </si>
  <si>
    <t>746194690466</t>
  </si>
  <si>
    <t>Rampage Juniors Drop-Shoulder Emoji G Lilac S</t>
  </si>
  <si>
    <t>M61221</t>
  </si>
  <si>
    <t>HJ930JPKM0142</t>
  </si>
  <si>
    <t>705143602912</t>
  </si>
  <si>
    <t>Energie Juniors Scoop-Neck Top Caviar M</t>
  </si>
  <si>
    <t>AZJL615</t>
  </si>
  <si>
    <t>AZJL616</t>
  </si>
  <si>
    <t>X LARGE</t>
  </si>
  <si>
    <t>CECE/NIC+ZOE</t>
  </si>
  <si>
    <t>CECE/BERNARD CHAUS INC</t>
  </si>
  <si>
    <t>3972QN9CT3</t>
  </si>
  <si>
    <t>MED ORANGE</t>
  </si>
  <si>
    <t>713701110236</t>
  </si>
  <si>
    <t>American Rag Lace Bell-Sleeve Romper Classic Black M</t>
  </si>
  <si>
    <t>WI1405AR</t>
  </si>
  <si>
    <t>42ZB613</t>
  </si>
  <si>
    <t>MED BEIGE</t>
  </si>
  <si>
    <t>6HT04</t>
  </si>
  <si>
    <t>829092277387</t>
  </si>
  <si>
    <t>BLK SEQUN CHAIN NK</t>
  </si>
  <si>
    <t>4146XCJ8</t>
  </si>
  <si>
    <t>TEEZE ME/CHOON INC</t>
  </si>
  <si>
    <t>SQUARY COOL</t>
  </si>
  <si>
    <t>ERJWT03098</t>
  </si>
  <si>
    <t>889351485076</t>
  </si>
  <si>
    <t>SC7824B</t>
  </si>
  <si>
    <t>829092313757</t>
  </si>
  <si>
    <t>XOXO Juniors Natalie Fit Printed A Multi 34</t>
  </si>
  <si>
    <t>8452PDA8</t>
  </si>
  <si>
    <t>SOPRANO/SSC INC</t>
  </si>
  <si>
    <t>FRCH TRY TULIP PLVR</t>
  </si>
  <si>
    <t>6HL35</t>
  </si>
  <si>
    <t>006240J</t>
  </si>
  <si>
    <t>OTS NOTCH FRONT RMPR</t>
  </si>
  <si>
    <t>70102MG</t>
  </si>
  <si>
    <t>791093382455</t>
  </si>
  <si>
    <t>SHIFT Juniors Metallic Lace-Trim Dr BlackSilver M</t>
  </si>
  <si>
    <t>JK1283D1GHGM</t>
  </si>
  <si>
    <t>OTHER REL SEP</t>
  </si>
  <si>
    <t>SHIFT/JAYA APPAREL GROUP</t>
  </si>
  <si>
    <t>DESTRCT ROLL SHORT</t>
  </si>
  <si>
    <t>6HD26</t>
  </si>
  <si>
    <t>MONTEAU INC</t>
  </si>
  <si>
    <t>PL58768</t>
  </si>
  <si>
    <t>884630083806</t>
  </si>
  <si>
    <t>Monteau Trendy Plus Size Scalloped Fit Red 1X</t>
  </si>
  <si>
    <t>OIL SLICK JACKET</t>
  </si>
  <si>
    <t>M61152</t>
  </si>
  <si>
    <t>20202MG</t>
  </si>
  <si>
    <t>886680007092</t>
  </si>
  <si>
    <t>Material Girl Juniors Rib-Knit Mock-Neck Bo Caviar Black L</t>
  </si>
  <si>
    <t>WW HPY GFT CLD SHLR</t>
  </si>
  <si>
    <t>6FK83B</t>
  </si>
  <si>
    <t>889775094472</t>
  </si>
  <si>
    <t>American Rag Crocheted Crop Top Oatmeal Combo M</t>
  </si>
  <si>
    <t>6HT13</t>
  </si>
  <si>
    <t>889775090566</t>
  </si>
  <si>
    <t>CLD SHLDR RFFL TP</t>
  </si>
  <si>
    <t>6HL28</t>
  </si>
  <si>
    <t>889775094458</t>
  </si>
  <si>
    <t>American Rag Crocheted Crop Top Oatmeal Combo XS</t>
  </si>
  <si>
    <t>768594155697</t>
  </si>
  <si>
    <t>SMCK BL SLV OFF SHLD</t>
  </si>
  <si>
    <t>78276AR</t>
  </si>
  <si>
    <t>889775090627</t>
  </si>
  <si>
    <t>889775094465</t>
  </si>
  <si>
    <t>American Rag Crocheted Crop Top Oatmeal Combo S</t>
  </si>
  <si>
    <t>6HL25</t>
  </si>
  <si>
    <t>SHRKBT STRIPD TNK</t>
  </si>
  <si>
    <t>6BK18</t>
  </si>
  <si>
    <t>J12175A9H</t>
  </si>
  <si>
    <t>4 WHAT IT'S WORTH</t>
  </si>
  <si>
    <t>826410172416</t>
  </si>
  <si>
    <t>STRP CS SMK BTM</t>
  </si>
  <si>
    <t>1051X72</t>
  </si>
  <si>
    <t>841413126334</t>
  </si>
  <si>
    <t>OhMG Juniors Yaasss Sequin Pullove BlackRed XS</t>
  </si>
  <si>
    <t>316-JS191</t>
  </si>
  <si>
    <t>B6445CBAS</t>
  </si>
  <si>
    <t>190040312253</t>
  </si>
  <si>
    <t>Almost Famous Juniors Striped Fringe Waterf GreyBlack XS</t>
  </si>
  <si>
    <t>RU5770MC</t>
  </si>
  <si>
    <t>ALMOST FAMOUS/TURN ON PRODUCTS</t>
  </si>
  <si>
    <t>889775092935</t>
  </si>
  <si>
    <t>STRIPED RIB BDY SUIT</t>
  </si>
  <si>
    <t>6HL05B</t>
  </si>
  <si>
    <t>3K31546MC</t>
  </si>
  <si>
    <t>3K31909MC</t>
  </si>
  <si>
    <t>M6O27HC212</t>
  </si>
  <si>
    <t>M61201</t>
  </si>
  <si>
    <t>H6F0148</t>
  </si>
  <si>
    <t>841060127050</t>
  </si>
  <si>
    <t>Hippie Rose Juniors Zip-Front Velour Hood Tapestry Blue S</t>
  </si>
  <si>
    <t>H6F0146</t>
  </si>
  <si>
    <t>M61154</t>
  </si>
  <si>
    <t>IA4562AX6782</t>
  </si>
  <si>
    <t>645545947221</t>
  </si>
  <si>
    <t>Rebellious One Juniors Sarcasm Coach Graphic Heather GreyNavy S</t>
  </si>
  <si>
    <t>645545947054</t>
  </si>
  <si>
    <t>Rebellious One Juniors French Fries Graphic Heather Charcoal XS</t>
  </si>
  <si>
    <t>IA4562AX6735</t>
  </si>
  <si>
    <t>887409061586</t>
  </si>
  <si>
    <t>RED/ LS RAYON HERRINGBONE</t>
  </si>
  <si>
    <t>PW13372MC</t>
  </si>
  <si>
    <t>887409060640</t>
  </si>
  <si>
    <t>Polly Esther Juniors Plaid Button-Front Sh OliveWhite XS</t>
  </si>
  <si>
    <t>190371321795</t>
  </si>
  <si>
    <t>Bioworld Juniors Wonder Woman Graphic Heather Red M</t>
  </si>
  <si>
    <t>RG4RF8DCO</t>
  </si>
  <si>
    <t>190371321801</t>
  </si>
  <si>
    <t>Bioworld Juniors Wonder Woman Graphic Heather Red L</t>
  </si>
  <si>
    <t>190371321771</t>
  </si>
  <si>
    <t>Bioworld Juniors Wonder Woman Graphic Heather Red XS</t>
  </si>
  <si>
    <t>190371321788</t>
  </si>
  <si>
    <t>Bioworld Juniors Wonder Woman Graphic Heather Red S</t>
  </si>
  <si>
    <t>190371321832</t>
  </si>
  <si>
    <t>Bioworld Juniors Harry Potter Hogwarts Charcoal Heather S</t>
  </si>
  <si>
    <t>RG4S1YHPT</t>
  </si>
  <si>
    <t>M61219</t>
  </si>
  <si>
    <t>3D314MC</t>
  </si>
  <si>
    <t>3D169MC</t>
  </si>
  <si>
    <t>RG4N7YBTM</t>
  </si>
  <si>
    <t>716068580872</t>
  </si>
  <si>
    <t>GILMORE GIRLS</t>
  </si>
  <si>
    <t>GZJV2001</t>
  </si>
  <si>
    <t>821942448367</t>
  </si>
  <si>
    <t>Planet Gold Juniors Off-the-Shoulder Dres Black S</t>
  </si>
  <si>
    <t>A3JD624</t>
  </si>
  <si>
    <t>821942448497</t>
  </si>
  <si>
    <t>Planet Gold Juniors Off-the-Shoulder Dres Red M</t>
  </si>
  <si>
    <t>821942448817</t>
  </si>
  <si>
    <t>Planet Gold Juniors Off-the-Shoulder Dres Olive XXS</t>
  </si>
  <si>
    <t>821942448701</t>
  </si>
  <si>
    <t>Planet Gold Juniors Off-the-Shoulder Dres Blue S</t>
  </si>
  <si>
    <t>645545959835</t>
  </si>
  <si>
    <t>PEACE SIGN RAGLAN</t>
  </si>
  <si>
    <t>A3318JX6630</t>
  </si>
  <si>
    <t>821942448756</t>
  </si>
  <si>
    <t>Planet Gold Juniors Off-the-Shoulder Dres Olive L</t>
  </si>
  <si>
    <t>821942448671</t>
  </si>
  <si>
    <t>Planet Gold Juniors Off-the-Shoulder Dres Red XXS</t>
  </si>
  <si>
    <t>821942448480</t>
  </si>
  <si>
    <t>Planet Gold Juniors Off-the-Shoulder Dres Red L</t>
  </si>
  <si>
    <t>645545959811</t>
  </si>
  <si>
    <t>COFFEE RAGLAN</t>
  </si>
  <si>
    <t>A3318JX7076</t>
  </si>
  <si>
    <t>821942448503</t>
  </si>
  <si>
    <t>Planet Gold Juniors Off-the-Shoulder Dres Red S</t>
  </si>
  <si>
    <t>821942448381</t>
  </si>
  <si>
    <t>Planet Gold Juniors Off-the-Shoulder Dres Black XS</t>
  </si>
  <si>
    <t>821942448794</t>
  </si>
  <si>
    <t>Planet Gold Juniors Off-the-Shoulder Dres Olive XS</t>
  </si>
  <si>
    <t>AMERICAN RAG-EDI/ARAGSFE</t>
  </si>
  <si>
    <t>SPEECHLESS/SWAT FAME INC</t>
  </si>
  <si>
    <t>686812525612</t>
  </si>
  <si>
    <t>American Rag Knit-Trim Hooded Anorak Jacket Sage XL</t>
  </si>
  <si>
    <t>A016748R</t>
  </si>
  <si>
    <t>AMERICAN RAG-EDI/COMINT APPAREL GRP</t>
  </si>
  <si>
    <t>889775077932</t>
  </si>
  <si>
    <t>American Rag Plus Size Betsy Wash Bootcut J Betsy Wash 24W</t>
  </si>
  <si>
    <t>P6FD77</t>
  </si>
  <si>
    <t>TURQ/AQUA</t>
  </si>
  <si>
    <t>P5FD17BEY</t>
  </si>
  <si>
    <t>22W</t>
  </si>
  <si>
    <t>P6HD27</t>
  </si>
  <si>
    <t>889775084510</t>
  </si>
  <si>
    <t>American Rag Juniors Hooded Pullover Sweat Indigo Combo M</t>
  </si>
  <si>
    <t>6TS28BINC</t>
  </si>
  <si>
    <t>ARJSW03201</t>
  </si>
  <si>
    <t>KK2812ARZF</t>
  </si>
  <si>
    <t>42ZK914</t>
  </si>
  <si>
    <t>6BD25X</t>
  </si>
  <si>
    <t>713701111813</t>
  </si>
  <si>
    <t>Material Girl Juniors Lace Bell-Sleeve Shif Cloud Dancer M</t>
  </si>
  <si>
    <t>10350MG</t>
  </si>
  <si>
    <t>JA27952H464</t>
  </si>
  <si>
    <t>4537XGA</t>
  </si>
  <si>
    <t>DARK BEIGE</t>
  </si>
  <si>
    <t>829092192383</t>
  </si>
  <si>
    <t>XOXO Juniors Cascade Handkerchief- Cobalt L</t>
  </si>
  <si>
    <t>9635ANT3</t>
  </si>
  <si>
    <t>PA3672AR</t>
  </si>
  <si>
    <t>829092284934</t>
  </si>
  <si>
    <t>XOXO Juniors Grommet-Trim Sweater Black L</t>
  </si>
  <si>
    <t>YOU BABES/MY MICHELLE/KELLWOOD</t>
  </si>
  <si>
    <t>713701095755</t>
  </si>
  <si>
    <t>American Rag Printed Waffle-Knit Lace-Trim Zinfandel Combo S</t>
  </si>
  <si>
    <t>40329D</t>
  </si>
  <si>
    <t>40329B</t>
  </si>
  <si>
    <t>637865195215</t>
  </si>
  <si>
    <t>Calvin Klein Jeans Metallic CK-Graphic T-Shirt Light Grey XS</t>
  </si>
  <si>
    <t>42ZK929</t>
  </si>
  <si>
    <t>637865195246</t>
  </si>
  <si>
    <t>Calvin Klein Jeans Metallic CK-Graphic T-Shirt Light Grey L</t>
  </si>
  <si>
    <t>637865195253</t>
  </si>
  <si>
    <t>Calvin Klein Jeans Metallic CK-Graphic T-Shirt Light Grey XL</t>
  </si>
  <si>
    <t>1090V3T</t>
  </si>
  <si>
    <t>713701112483</t>
  </si>
  <si>
    <t>Material Girl Juniors Lace-Detail Crop Top Black Combo M</t>
  </si>
  <si>
    <t>CJ21034PF</t>
  </si>
  <si>
    <t>DOLLHOUSE/BBC APPAREL GROUP</t>
  </si>
  <si>
    <t>K112H4485M</t>
  </si>
  <si>
    <t>ORANGE</t>
  </si>
  <si>
    <t>ARIYA/ONYX DESIGN GROUP</t>
  </si>
  <si>
    <t>888650119538</t>
  </si>
  <si>
    <t>Ariya Juniors Curvy Embellished Med Delano 15</t>
  </si>
  <si>
    <t>32233M</t>
  </si>
  <si>
    <t>888650119514</t>
  </si>
  <si>
    <t>Ariya Juniors Curvy Embellished Med Delano 11</t>
  </si>
  <si>
    <t>713701108752</t>
  </si>
  <si>
    <t>American Rag Juniors Lace Contrast Henley Coastal Fjord M</t>
  </si>
  <si>
    <t>A3672AR</t>
  </si>
  <si>
    <t>MYJ003409</t>
  </si>
  <si>
    <t>OSFA</t>
  </si>
  <si>
    <t>INDIGO REIN/JRG APPAREL GRP CO LTD</t>
  </si>
  <si>
    <t>706256894690</t>
  </si>
  <si>
    <t>Material Girl Active Juniors Metallic Zip H Rose Gold M</t>
  </si>
  <si>
    <t>M61118</t>
  </si>
  <si>
    <t>887043693662</t>
  </si>
  <si>
    <t>Celebrity Pink Juniors Flocked Skinny Jeans Black 7</t>
  </si>
  <si>
    <t>CJ21034P1740</t>
  </si>
  <si>
    <t>887043693624</t>
  </si>
  <si>
    <t>Celebrity Pink Juniors Flocked Skinny Jeans Black 0</t>
  </si>
  <si>
    <t>841413126518</t>
  </si>
  <si>
    <t>OhMG Juniors Southwest Asymmetrica Burgundy L</t>
  </si>
  <si>
    <t>616-JS233</t>
  </si>
  <si>
    <t>888825991709</t>
  </si>
  <si>
    <t>Tinseltown Juniors Black Wash Skinny Mot Black 3</t>
  </si>
  <si>
    <t>1065Y81</t>
  </si>
  <si>
    <t>405834P</t>
  </si>
  <si>
    <t>841060123304</t>
  </si>
  <si>
    <t>Hippie Rose Juniors Striped Crisscross-Ba Wicked Combo XL</t>
  </si>
  <si>
    <t>H6F0130</t>
  </si>
  <si>
    <t>889602111785</t>
  </si>
  <si>
    <t>Jessica Simpson Logo Foil Graphic Jogger Pants Light Heather Grey M</t>
  </si>
  <si>
    <t>3K31335MC</t>
  </si>
  <si>
    <t>3K31077MC</t>
  </si>
  <si>
    <t>H6F0140</t>
  </si>
  <si>
    <t>ONE CLOTHING/O &amp; K INC</t>
  </si>
  <si>
    <t>645545932227</t>
  </si>
  <si>
    <t>Material Girl Active Juniors Metallic Hoodi Black M</t>
  </si>
  <si>
    <t>M61153</t>
  </si>
  <si>
    <t>645545931961</t>
  </si>
  <si>
    <t>Material Girl Active Juniors Metallic-Detai Black S</t>
  </si>
  <si>
    <t>M61113</t>
  </si>
  <si>
    <t>645545935600</t>
  </si>
  <si>
    <t>Material Girl Active Juniors Metallic-Detai Cosmic Cobalt L</t>
  </si>
  <si>
    <t>3C766MC</t>
  </si>
  <si>
    <t>IA4402FV1243</t>
  </si>
  <si>
    <t>841060124912</t>
  </si>
  <si>
    <t>Hippie Rose Juniors Long-Sleeve Asymmetri Mountain BlueBlack Strioe XS</t>
  </si>
  <si>
    <t>40027LP204</t>
  </si>
  <si>
    <t>695532480941</t>
  </si>
  <si>
    <t>Ultra Flirt Juniors Cowl-Neck Waffle-Knit Black L</t>
  </si>
  <si>
    <t>JF9792J185</t>
  </si>
  <si>
    <t>645545934733</t>
  </si>
  <si>
    <t>Material Girl Juniors Strappy Graphic Tank Heather Charcoal XL</t>
  </si>
  <si>
    <t>M6709DF212</t>
  </si>
  <si>
    <t>RVSJBD1-8K75</t>
  </si>
  <si>
    <t>PINKOVERFL</t>
  </si>
  <si>
    <t>887648644632</t>
  </si>
  <si>
    <t>Trolls by DreamWorks Juniors Trolls Graphic Raglan WhiteGrey Heather L</t>
  </si>
  <si>
    <t>A2JD714</t>
  </si>
  <si>
    <t>IA2985J124A</t>
  </si>
  <si>
    <t>746194690282</t>
  </si>
  <si>
    <t>Rampage Juniors Drop-Shoulder Cupcake Light Heather Grey M</t>
  </si>
  <si>
    <t>746194690152</t>
  </si>
  <si>
    <t>Rampage Juniors Drop-Shoulder Dreamca Pink Heather L</t>
  </si>
  <si>
    <t>746194690435</t>
  </si>
  <si>
    <t>Rampage Juniors Drop-Shoulder Emoji G Lilac XS</t>
  </si>
  <si>
    <t>746194690084</t>
  </si>
  <si>
    <t>Rampage Juniors Drop-Shoulder Coffee Cloud Dancer S</t>
  </si>
  <si>
    <t>M61220</t>
  </si>
  <si>
    <t>190344513790</t>
  </si>
  <si>
    <t>Hybrid Juniors Pokemon Catch Em Al White XL</t>
  </si>
  <si>
    <t>821942425320</t>
  </si>
  <si>
    <t>Planet Gold Juniors Rib-Knit Cold-Shoulde Rumba Red XS</t>
  </si>
  <si>
    <t>A2JT715</t>
  </si>
  <si>
    <t>P6HQ37</t>
  </si>
  <si>
    <t>842127107787</t>
  </si>
  <si>
    <t>American Rag Embroidered Lace Fit Flare D Classic Black M</t>
  </si>
  <si>
    <t>7Q2960AR</t>
  </si>
  <si>
    <t>1967QD8BT1</t>
  </si>
  <si>
    <t>886680025829</t>
  </si>
  <si>
    <t>NEON FLRL OTS 2FER</t>
  </si>
  <si>
    <t>10380MG</t>
  </si>
  <si>
    <t>889775095424</t>
  </si>
  <si>
    <t>SS COCOON SWT SHRG</t>
  </si>
  <si>
    <t>6HT51</t>
  </si>
  <si>
    <t>SURF JUNIORS</t>
  </si>
  <si>
    <t>O'NEILL SPORTSWEAR</t>
  </si>
  <si>
    <t>BLAC COLD SHOULDER, LEAST</t>
  </si>
  <si>
    <t>117766R</t>
  </si>
  <si>
    <t>006220C</t>
  </si>
  <si>
    <t>191170004421</t>
  </si>
  <si>
    <t>Trixxi Juniors Embroidered Illusion Black S</t>
  </si>
  <si>
    <t>26K9706Z6I</t>
  </si>
  <si>
    <t>TRIXXI CLOTHING COMPANY INC</t>
  </si>
  <si>
    <t>791093382301</t>
  </si>
  <si>
    <t>SHIFT Juniors Crushed Velvet Slip D Silver M</t>
  </si>
  <si>
    <t>JK1281D1GLNM</t>
  </si>
  <si>
    <t>886680006897</t>
  </si>
  <si>
    <t>Material Girl Juniors Metallic Lace Bodysui Black Combo XL</t>
  </si>
  <si>
    <t>20203MG</t>
  </si>
  <si>
    <t>GOLD FOIL JACKET</t>
  </si>
  <si>
    <t>M61149</t>
  </si>
  <si>
    <t>889775090665</t>
  </si>
  <si>
    <t>MYB020081</t>
  </si>
  <si>
    <t>826422145149</t>
  </si>
  <si>
    <t>BCX Juniors Cropped Wide-Leg Soft Black S</t>
  </si>
  <si>
    <t>BLK RFFL FRT BBL</t>
  </si>
  <si>
    <t>1018X35</t>
  </si>
  <si>
    <t>887400720185</t>
  </si>
  <si>
    <t>Eyeshadow Trendy Plus Size Sheer Cold-Sh Victorian Grey 2X</t>
  </si>
  <si>
    <t>190040312390</t>
  </si>
  <si>
    <t>Almost Famous Juniors Striped Fringe Waterf SagePink S</t>
  </si>
  <si>
    <t>J63830M</t>
  </si>
  <si>
    <t>889901163805</t>
  </si>
  <si>
    <t>Hooked Up by IOT Juniors Amaaazing Pullover Sw Twilight Blue Combo M</t>
  </si>
  <si>
    <t>889901163799</t>
  </si>
  <si>
    <t>Hooked Up by IOT Juniors Amaaazing Pullover Sw Twilight Blue Combo S</t>
  </si>
  <si>
    <t>826422582807</t>
  </si>
  <si>
    <t>BCX Juniors Ruffled Cold-Shoulder Black M</t>
  </si>
  <si>
    <t>1051C8H</t>
  </si>
  <si>
    <t>H6F0141</t>
  </si>
  <si>
    <t>190040349761</t>
  </si>
  <si>
    <t>Almost Famous Juniors Patch-Trim Tunic Bomb Light Heather Grey XS</t>
  </si>
  <si>
    <t>SP6099MAC</t>
  </si>
  <si>
    <t>637677237110</t>
  </si>
  <si>
    <t>Belle Du Jour Juniors Cardigan, T-Shirt and Heather Oatmeal M</t>
  </si>
  <si>
    <t>1DGENSXT</t>
  </si>
  <si>
    <t>637677233419</t>
  </si>
  <si>
    <t>Belle Du Jour Juniors Cardigan, T-Shirt and Deep Merlot M</t>
  </si>
  <si>
    <t>1DFHNSYA</t>
  </si>
  <si>
    <t>706256917658</t>
  </si>
  <si>
    <t>GOLD METALL CROP LEG</t>
  </si>
  <si>
    <t>M61227</t>
  </si>
  <si>
    <t>706256917603</t>
  </si>
  <si>
    <t>ALV LC BABY TEE</t>
  </si>
  <si>
    <t>6HL34</t>
  </si>
  <si>
    <t>889775092874</t>
  </si>
  <si>
    <t>STRPY BASIC TNK</t>
  </si>
  <si>
    <t>6HK97</t>
  </si>
  <si>
    <t>821942448749</t>
  </si>
  <si>
    <t>Planet Gold Juniors Off-the-Shoulder Dres Blue XXS</t>
  </si>
  <si>
    <t>CHERRY STIX LTD</t>
  </si>
  <si>
    <t>SL SCP NK TANK W/ CROCHE</t>
  </si>
  <si>
    <t>CRYSTAL DOLL/CRYSTAL LYNN CLOTHING</t>
  </si>
  <si>
    <t>686812525599</t>
  </si>
  <si>
    <t>American Rag Knit-Trim Hooded Anorak Jacket Sage M</t>
  </si>
  <si>
    <t>D563G418H</t>
  </si>
  <si>
    <t>637865185230</t>
  </si>
  <si>
    <t>Calvin Klein Jeans Drop-Waist Peasant Top Pristine M</t>
  </si>
  <si>
    <t>DNMLAB/BTRDNM</t>
  </si>
  <si>
    <t>6TS28BDO</t>
  </si>
  <si>
    <t>889775031002</t>
  </si>
  <si>
    <t>American Rag Juniors Hooded Pullover Sweat Biking RedBlue Combo S</t>
  </si>
  <si>
    <t>791093296493</t>
  </si>
  <si>
    <t>In Awe of You by AwesomenessTV Juniors Sleeveless Jewel-Embe Pink S</t>
  </si>
  <si>
    <t>SPJ221D1GA8M</t>
  </si>
  <si>
    <t>DARKORANGE</t>
  </si>
  <si>
    <t>889775070650</t>
  </si>
  <si>
    <t>American Rag High-Waist Trudy Wash Skinny J Twilight Wash 15</t>
  </si>
  <si>
    <t>D5VJJ090H</t>
  </si>
  <si>
    <t>889775077154</t>
  </si>
  <si>
    <t>American Rag Juniors Printed Shift Dress Pale Pink Multi S</t>
  </si>
  <si>
    <t>5FX02H</t>
  </si>
  <si>
    <t>889775069654</t>
  </si>
  <si>
    <t>American Rag Colored Wash Super-Skinny Jean Olive 15</t>
  </si>
  <si>
    <t>6BN91X</t>
  </si>
  <si>
    <t>8487DWB3</t>
  </si>
  <si>
    <t>6BD22X</t>
  </si>
  <si>
    <t>768594155642</t>
  </si>
  <si>
    <t>American Rag Cami T-Shirt Dress Coral L</t>
  </si>
  <si>
    <t>768594155628</t>
  </si>
  <si>
    <t>American Rag Cami T-Shirt Dress Coral S</t>
  </si>
  <si>
    <t>W4D345AR</t>
  </si>
  <si>
    <t>889775090436</t>
  </si>
  <si>
    <t>American Rag Embellished Cold-Shoulder Peas Teal XL</t>
  </si>
  <si>
    <t>886998513483</t>
  </si>
  <si>
    <t>American Rag Trendy Plus Size Lace-Trim Hen Egret 2X</t>
  </si>
  <si>
    <t>CJ22003SN</t>
  </si>
  <si>
    <t>746194692934</t>
  </si>
  <si>
    <t>Material Girl Juniors Off-The-Shoulder Body Black M</t>
  </si>
  <si>
    <t>888825936090</t>
  </si>
  <si>
    <t>Material Girl Juniors Illusion Lace Bodysui Blush S</t>
  </si>
  <si>
    <t>887043679871</t>
  </si>
  <si>
    <t>Celebrity Pink Juniors Slimming Technology C Black 15</t>
  </si>
  <si>
    <t>R1494UNES</t>
  </si>
  <si>
    <t>RAMPAGE/IBRANDS INTL LLC</t>
  </si>
  <si>
    <t>IMPERIAL STAR/REVISE CLOTHING INC</t>
  </si>
  <si>
    <t>888650119521</t>
  </si>
  <si>
    <t>Ariya Juniors Curvy Embellished Med Delano 13</t>
  </si>
  <si>
    <t>CJ21034P1751</t>
  </si>
  <si>
    <t>CJ21034P1757</t>
  </si>
  <si>
    <t>713701108530</t>
  </si>
  <si>
    <t>American Rag Juniors Lace Contrast Henley Zinfandel S</t>
  </si>
  <si>
    <t>713701108462</t>
  </si>
  <si>
    <t>American Rag Juniors Lace Contrast Henley Dusty Olive S</t>
  </si>
  <si>
    <t>713701108523</t>
  </si>
  <si>
    <t>American Rag Juniors Lace Contrast Henley Zinfandel XS</t>
  </si>
  <si>
    <t>1092V1W</t>
  </si>
  <si>
    <t>516-JS315</t>
  </si>
  <si>
    <t>1021X30</t>
  </si>
  <si>
    <t>1092V7G</t>
  </si>
  <si>
    <t>J8976BE4</t>
  </si>
  <si>
    <t>841413126433</t>
  </si>
  <si>
    <t>OhMG Juniors Southwest Asymmetrica BlackWhite XS</t>
  </si>
  <si>
    <t>841413126488</t>
  </si>
  <si>
    <t>OhMG Juniors Southwest Asymmetrica Burgundy XS</t>
  </si>
  <si>
    <t>841413126495</t>
  </si>
  <si>
    <t>OhMG Juniors Southwest Asymmetrica Burgundy S</t>
  </si>
  <si>
    <t>841413126501</t>
  </si>
  <si>
    <t>OhMG Juniors Southwest Asymmetrica Burgundy M</t>
  </si>
  <si>
    <t>841413126532</t>
  </si>
  <si>
    <t>OhMG Juniors Southwest Asymmetrica Medium Grey XS</t>
  </si>
  <si>
    <t>645545933613</t>
  </si>
  <si>
    <t>Material Girl Juniors Mesh Zip-Up Hoodie Black XL</t>
  </si>
  <si>
    <t>M61209</t>
  </si>
  <si>
    <t>645545933996</t>
  </si>
  <si>
    <t>Material Girl Juniors Graphic Mesh-Inset Sw Heather Charcoal M</t>
  </si>
  <si>
    <t>M61212</t>
  </si>
  <si>
    <t>888825991808</t>
  </si>
  <si>
    <t>Tinseltown Juniors Moto Burgundy Wash Sk Burgundy 5</t>
  </si>
  <si>
    <t>888825991792</t>
  </si>
  <si>
    <t>Tinseltown Juniors Moto Burgundy Wash Sk Burgundy 3</t>
  </si>
  <si>
    <t>CJ20974Z35</t>
  </si>
  <si>
    <t>MYB018899</t>
  </si>
  <si>
    <t>888825870547</t>
  </si>
  <si>
    <t>Tinseltown Juniors High-Waist Skinny Jea Moss Camo Printed 3</t>
  </si>
  <si>
    <t>888825870530</t>
  </si>
  <si>
    <t>Tinseltown Juniors High-Waist Skinny Jea Moss Camo Printed 1</t>
  </si>
  <si>
    <t>LT/PAS ORG</t>
  </si>
  <si>
    <t>5T52009MC</t>
  </si>
  <si>
    <t>316- JS536</t>
  </si>
  <si>
    <t>841060123120</t>
  </si>
  <si>
    <t>Hippie Rose Juniors Crisscross-Back High- Med Heather S</t>
  </si>
  <si>
    <t>695532440228</t>
  </si>
  <si>
    <t>Ultra Flirt Juniors Striped Mitered-Hem T BlackWhite M</t>
  </si>
  <si>
    <t>841060123274</t>
  </si>
  <si>
    <t>Hippie Rose Juniors Striped Crisscross-Ba Wicked Combo S</t>
  </si>
  <si>
    <t>CJ21034M42</t>
  </si>
  <si>
    <t>841060123113</t>
  </si>
  <si>
    <t>Hippie Rose Juniors Crisscross-Back High- Med Heather XS</t>
  </si>
  <si>
    <t>841060123151</t>
  </si>
  <si>
    <t>Hippie Rose Juniors Crisscross-Back High- Med Heather XL</t>
  </si>
  <si>
    <t>JA26406J508</t>
  </si>
  <si>
    <t>MED YELLOW</t>
  </si>
  <si>
    <t>746194687190</t>
  </si>
  <si>
    <t>Material Girl Juniors Cap-Sleeve Bodysuit Black S</t>
  </si>
  <si>
    <t>695532480729</t>
  </si>
  <si>
    <t>Ultra Flirt Juniors Sleeveless Mock-Neck Black S</t>
  </si>
  <si>
    <t>FISH BOWL/SECOND GENERATION</t>
  </si>
  <si>
    <t>M6O08NR212</t>
  </si>
  <si>
    <t>706256695259</t>
  </si>
  <si>
    <t>Material Girl Active Juniors Lace-Waist Yog Black S</t>
  </si>
  <si>
    <t>706256694894</t>
  </si>
  <si>
    <t>Material Girl Juniors Graphic Jogger Pants Black XS</t>
  </si>
  <si>
    <t>M61119</t>
  </si>
  <si>
    <t>645545931978</t>
  </si>
  <si>
    <t>Material Girl Active Juniors Metallic-Detai Black M</t>
  </si>
  <si>
    <t>887069474993</t>
  </si>
  <si>
    <t>Pink Rose Juniors Rib-Knit Fine-Gauge S Medium Heather Grey XL</t>
  </si>
  <si>
    <t>PF626722</t>
  </si>
  <si>
    <t>841060124233</t>
  </si>
  <si>
    <t>Hippie Rose Juniors Long-Sleeve Coccoon C BlackIvory M</t>
  </si>
  <si>
    <t>705143699035</t>
  </si>
  <si>
    <t>Energie Juniors Molly Striped V-Neck CaviarHeather L</t>
  </si>
  <si>
    <t>PF613237</t>
  </si>
  <si>
    <t>J62195M</t>
  </si>
  <si>
    <t>887854011242</t>
  </si>
  <si>
    <t>Miss Chievous Juniors Lace-Trim V-Neck Tuni Shadow XS</t>
  </si>
  <si>
    <t>841060124844</t>
  </si>
  <si>
    <t>Hippie Rose Juniors Long-Sleeve Asymmetri Medium Heather Grey L</t>
  </si>
  <si>
    <t>829826310427</t>
  </si>
  <si>
    <t>Planet Gold Juniors Holiday-Print Fit F Blue Combo M</t>
  </si>
  <si>
    <t>M2JR475</t>
  </si>
  <si>
    <t>829826311660</t>
  </si>
  <si>
    <t>Planet Gold Juniors Holiday-Print Fit F Black Combo M</t>
  </si>
  <si>
    <t>M2JR476</t>
  </si>
  <si>
    <t>887854011105</t>
  </si>
  <si>
    <t>Miss Chievous Juniors Lace-Trim V-Neck Tuni Faded Fatigue XS</t>
  </si>
  <si>
    <t>695532456526</t>
  </si>
  <si>
    <t>Ultra Flirt Juniors Moto Leggings Burgundy M</t>
  </si>
  <si>
    <t>4P24MC</t>
  </si>
  <si>
    <t>1BSNAJNM</t>
  </si>
  <si>
    <t>829826310397</t>
  </si>
  <si>
    <t>Planet Gold Juniors Holiday-Print Pencil Black Combo M</t>
  </si>
  <si>
    <t>M2JR474</t>
  </si>
  <si>
    <t>829826310403</t>
  </si>
  <si>
    <t>Planet Gold Juniors Holiday-Print Pencil Black Combo S</t>
  </si>
  <si>
    <t>6X68MC</t>
  </si>
  <si>
    <t>887069038454</t>
  </si>
  <si>
    <t>Material Girl Juniors Pants, Faux-Leather Le Caviar Black ML</t>
  </si>
  <si>
    <t>PC11463BLK</t>
  </si>
  <si>
    <t>ZT8470-6960-7956-MC</t>
  </si>
  <si>
    <t>ZT8459-5484-0695-MC</t>
  </si>
  <si>
    <t>190040297017</t>
  </si>
  <si>
    <t>Almost Famous Juniors Lattice-Front Ruched Natural L</t>
  </si>
  <si>
    <t>ZV2444-3707-MC</t>
  </si>
  <si>
    <t>645545892699</t>
  </si>
  <si>
    <t>Material Girl Juniors Graphic Tank Top Noir L</t>
  </si>
  <si>
    <t>M6705NR212</t>
  </si>
  <si>
    <t>FHJB2052</t>
  </si>
  <si>
    <t>843561089134</t>
  </si>
  <si>
    <t>Miss Chievous Juniors Embellished Dolman-Sl Pinot Noir L</t>
  </si>
  <si>
    <t>645545953789</t>
  </si>
  <si>
    <t>Material Girl Juniors Graphic Racerback Tan Strong Yelllow XXS</t>
  </si>
  <si>
    <t>M6968</t>
  </si>
  <si>
    <t>BRGHT YELL</t>
  </si>
  <si>
    <t>BROWN</t>
  </si>
  <si>
    <t>M61111</t>
  </si>
  <si>
    <t>645545931480</t>
  </si>
  <si>
    <t>Material Girl Active Juniors Graphic Tank T Hot Chilli M</t>
  </si>
  <si>
    <t>645545931503</t>
  </si>
  <si>
    <t>Material Girl Active Juniors Graphic Tank T Hot Chilli XL</t>
  </si>
  <si>
    <t>5T98MC</t>
  </si>
  <si>
    <t>IA8334J124A</t>
  </si>
  <si>
    <t>746194690534</t>
  </si>
  <si>
    <t>Rampage Juniors Drop-Shoulder Metalli Light Heather Grey XS</t>
  </si>
  <si>
    <t>695532471529</t>
  </si>
  <si>
    <t>Ultra Flirt Juniors Ringer T-Shirt CharcoalHeather Black M</t>
  </si>
  <si>
    <t>3B960MC</t>
  </si>
  <si>
    <t>645545952553</t>
  </si>
  <si>
    <t>Rebellious One Juniors Colorblock Graphic Tu Blush Deep L</t>
  </si>
  <si>
    <t>HJ930JPKM0092</t>
  </si>
  <si>
    <t>190371313318</t>
  </si>
  <si>
    <t>Bioworld Juniors Fantastic Beasts MACU Black S</t>
  </si>
  <si>
    <t>RG4N3FFAN</t>
  </si>
  <si>
    <t>705143709093</t>
  </si>
  <si>
    <t>Energie Juniors Mila Printed V-Neck T Aztec Pop S</t>
  </si>
  <si>
    <t>4I16MC</t>
  </si>
  <si>
    <t>SQUARE 30</t>
  </si>
  <si>
    <t>KDP12065I</t>
  </si>
  <si>
    <t>42ZK238</t>
  </si>
  <si>
    <t>3233QU5CT3</t>
  </si>
  <si>
    <t>10373MG</t>
  </si>
  <si>
    <t>3248SX7BT1</t>
  </si>
  <si>
    <t>25N068HH9I</t>
  </si>
  <si>
    <t>MOCK HLTR FLRL RMPR</t>
  </si>
  <si>
    <t>W4D40428AR</t>
  </si>
  <si>
    <t>708008371145</t>
  </si>
  <si>
    <t>City Studios Juniors Illusion Colorblock S Navywhite 3</t>
  </si>
  <si>
    <t>7426KV7AT3</t>
  </si>
  <si>
    <t>20206MG</t>
  </si>
  <si>
    <t>CLAS AUTHHIRISE 5PKT SHRT</t>
  </si>
  <si>
    <t>6SD61CBK</t>
  </si>
  <si>
    <t>RAW EDGE DENIM SKIRT</t>
  </si>
  <si>
    <t>7TR14</t>
  </si>
  <si>
    <t>889631050383</t>
  </si>
  <si>
    <t>Crystal Doll Juniors Floral-Print High-Low Pink Floral S</t>
  </si>
  <si>
    <t>KXI13376I</t>
  </si>
  <si>
    <t>889775090542</t>
  </si>
  <si>
    <t>889775093062</t>
  </si>
  <si>
    <t>American Rag Lace-Inset High-Low Peasant To Chilli Pepper XS</t>
  </si>
  <si>
    <t>768594155727</t>
  </si>
  <si>
    <t>889775093314</t>
  </si>
  <si>
    <t>20208MG</t>
  </si>
  <si>
    <t>889775110202</t>
  </si>
  <si>
    <t>SLD SS ALVR SMCK TP</t>
  </si>
  <si>
    <t>6HK90</t>
  </si>
  <si>
    <t>1DFHNSXZ</t>
  </si>
  <si>
    <t>LOVE STRIPE CRP YOGA</t>
  </si>
  <si>
    <t>M6O41BK212</t>
  </si>
  <si>
    <t>WORKOUT HOODIE</t>
  </si>
  <si>
    <t>M61116</t>
  </si>
  <si>
    <t>706257141175</t>
  </si>
  <si>
    <t>CANT STOP CROP LEGGI</t>
  </si>
  <si>
    <t>M7151</t>
  </si>
  <si>
    <t>V20892</t>
  </si>
  <si>
    <t>5T53168K</t>
  </si>
  <si>
    <t>I DID IT FOR LIKES RGLN</t>
  </si>
  <si>
    <t>A3318JX7077</t>
  </si>
  <si>
    <t>889775031026</t>
  </si>
  <si>
    <t>American Rag Juniors Hooded Pullover Sweat Biking RedBlue Combo L</t>
  </si>
  <si>
    <t>889351709097</t>
  </si>
  <si>
    <t>Roxy Juniors Take Stock Lightweigh Dark Purple S</t>
  </si>
  <si>
    <t>6BD12DX</t>
  </si>
  <si>
    <t>F2622IDNA-MACY</t>
  </si>
  <si>
    <t>889775067599</t>
  </si>
  <si>
    <t>American Rag Colored Wash Super-Skinny Jean Woodrose 15</t>
  </si>
  <si>
    <t>889775069630</t>
  </si>
  <si>
    <t>American Rag Colored Wash Super-Skinny Jean Olive 11</t>
  </si>
  <si>
    <t>829092299303</t>
  </si>
  <si>
    <t>XOXO Juniors Wide-Leg Trousers White 56</t>
  </si>
  <si>
    <t>889775090412</t>
  </si>
  <si>
    <t>American Rag Embellished Cold-Shoulder Peas Teal M</t>
  </si>
  <si>
    <t>ARJKT03250</t>
  </si>
  <si>
    <t>1097V0F</t>
  </si>
  <si>
    <t>826409643637</t>
  </si>
  <si>
    <t>BCX Juniors Crocheted Fringe-Trim White XS</t>
  </si>
  <si>
    <t>826409970849</t>
  </si>
  <si>
    <t>BCX Juniors Printed Split-Sleeve Patch Print S</t>
  </si>
  <si>
    <t>1088V17</t>
  </si>
  <si>
    <t>713701108745</t>
  </si>
  <si>
    <t>American Rag Juniors Lace Contrast Henley Coastal Fjord S</t>
  </si>
  <si>
    <t>888825958733</t>
  </si>
  <si>
    <t>Tinseltown Juniors Sweater-Sleeve Denim Black M</t>
  </si>
  <si>
    <t>706256894744</t>
  </si>
  <si>
    <t>Material Girl Active Juniors Metallic Zip H Gold Metallic XS</t>
  </si>
  <si>
    <t>ZT5306C57MZ</t>
  </si>
  <si>
    <t>JD15S62576</t>
  </si>
  <si>
    <t>888825935734</t>
  </si>
  <si>
    <t>Tinseltown Juniors High-Waist Skinny Jea Mamba Rinse Wash 0</t>
  </si>
  <si>
    <t>MYB019398</t>
  </si>
  <si>
    <t>Material Girl Juniors Graphic Jogger Pants Black L</t>
  </si>
  <si>
    <t>M61213</t>
  </si>
  <si>
    <t>J60828M</t>
  </si>
  <si>
    <t>SAY WHAT?/KNITWORK PRODUCTIONS</t>
  </si>
  <si>
    <t>706256732404</t>
  </si>
  <si>
    <t>Material Girl Active Juniors Graphic Leggin Heather Charcoal XXS</t>
  </si>
  <si>
    <t>M61120</t>
  </si>
  <si>
    <t>706256695143</t>
  </si>
  <si>
    <t>Material Girl Active Juniors Love Yoga Pant Black XS</t>
  </si>
  <si>
    <t>706256695273</t>
  </si>
  <si>
    <t>Material Girl Active Juniors Lace-Waist Yog Black L</t>
  </si>
  <si>
    <t>706256695051</t>
  </si>
  <si>
    <t>Material Girl Active Juniors Colorblocked L Heather Charcoal S</t>
  </si>
  <si>
    <t>706256695266</t>
  </si>
  <si>
    <t>Material Girl Active Juniors Lace-Waist Yog Black M</t>
  </si>
  <si>
    <t>706256694931</t>
  </si>
  <si>
    <t>Material Girl Juniors Graphic Jogger Pants Black XL</t>
  </si>
  <si>
    <t>M61115</t>
  </si>
  <si>
    <t>PF626742</t>
  </si>
  <si>
    <t>887069474672</t>
  </si>
  <si>
    <t>Pink Rose Juniors Striped Cowl-Neck Fin Heather CharcoalWhite M</t>
  </si>
  <si>
    <t>887069474719</t>
  </si>
  <si>
    <t>Pink Rose Juniors Cowl-Neck Marled Fine Heather Grey S</t>
  </si>
  <si>
    <t>887069474689</t>
  </si>
  <si>
    <t>Pink Rose Juniors Striped Cowl-Neck Fin Heather CharcoalWhite L</t>
  </si>
  <si>
    <t>887069474702</t>
  </si>
  <si>
    <t>Pink Rose Juniors Cowl-Neck Marled Fine Heather Grey XS</t>
  </si>
  <si>
    <t>887069474665</t>
  </si>
  <si>
    <t>Pink Rose Juniors Striped Cowl-Neck Fin Heather CharcoalWhite S</t>
  </si>
  <si>
    <t>887069474658</t>
  </si>
  <si>
    <t>Pink Rose Juniors Striped Cowl-Neck Fin Heather CharcoalWhite XS</t>
  </si>
  <si>
    <t>705143699011</t>
  </si>
  <si>
    <t>Energie Juniors Molly Striped V-Neck Inky Blue XS</t>
  </si>
  <si>
    <t>H6F0122M</t>
  </si>
  <si>
    <t>GJ1263IE</t>
  </si>
  <si>
    <t>705143714080</t>
  </si>
  <si>
    <t>Energie Active Juniors Fleece Vest an Navy Spacedye XS</t>
  </si>
  <si>
    <t>H6F0120</t>
  </si>
  <si>
    <t>190040298311</t>
  </si>
  <si>
    <t>Almost Famous Juniors Lace-Trim Roll-Sleeve Black M</t>
  </si>
  <si>
    <t>1CVNAJNL</t>
  </si>
  <si>
    <t>JL2678JTRL0128</t>
  </si>
  <si>
    <t>190344361957</t>
  </si>
  <si>
    <t>Trolls by DreamWorks Juniors Trolls Heart Graphic Purple XL</t>
  </si>
  <si>
    <t>JL2678JTRL0082</t>
  </si>
  <si>
    <t>H6S0097</t>
  </si>
  <si>
    <t>M61237</t>
  </si>
  <si>
    <t>A3164J232</t>
  </si>
  <si>
    <t>M6967</t>
  </si>
  <si>
    <t>PNSJ095-8K75</t>
  </si>
  <si>
    <t>746194690138</t>
  </si>
  <si>
    <t>Rampage Juniors Drop-Shoulder Dreamca Pink Heather S</t>
  </si>
  <si>
    <t>645545952478</t>
  </si>
  <si>
    <t>Rebellious One Juniors Colorblock Graphic Tu White Dust S</t>
  </si>
  <si>
    <t>XA3114JX6900</t>
  </si>
  <si>
    <t>190371327261</t>
  </si>
  <si>
    <t>Bioworld Juniors Fantastic Beasts Magi Maroon S</t>
  </si>
  <si>
    <t>RI4MUUFAN</t>
  </si>
  <si>
    <t>RG4RZYFAN</t>
  </si>
  <si>
    <t>705143602929</t>
  </si>
  <si>
    <t>Energie Juniors Scoop-Neck Top Caviar S</t>
  </si>
  <si>
    <t>705143602769</t>
  </si>
  <si>
    <t>Energie Juniors Scoop-Neck Top Antique White XS</t>
  </si>
  <si>
    <t>705143701523</t>
  </si>
  <si>
    <t>Energie Energie Juniors Mila V-Neck T Boysenberry L</t>
  </si>
  <si>
    <t>42ZJ784</t>
  </si>
  <si>
    <t>42ZA733</t>
  </si>
  <si>
    <t>42ZW145</t>
  </si>
  <si>
    <t>889351705631</t>
  </si>
  <si>
    <t>Roxy Juniors Wendi Printed Lace-Tr Dark Purple M</t>
  </si>
  <si>
    <t>ARJWD03170</t>
  </si>
  <si>
    <t>822982636943</t>
  </si>
  <si>
    <t>Jessica Simpson Hyne Bell-Sleeve Sweater White M</t>
  </si>
  <si>
    <t>822982636882</t>
  </si>
  <si>
    <t>Jessica Simpson Hyne Bell-Sleeve Sweater Medium Pink S</t>
  </si>
  <si>
    <t>889775095431</t>
  </si>
  <si>
    <t>889775095462</t>
  </si>
  <si>
    <t>889775095455</t>
  </si>
  <si>
    <t>P12873AR</t>
  </si>
  <si>
    <t>826422586812</t>
  </si>
  <si>
    <t>791093382394</t>
  </si>
  <si>
    <t>SHIFT Juniors Plisse Cropped Wide- Black S</t>
  </si>
  <si>
    <t>JK1231B1GLLM</t>
  </si>
  <si>
    <t>886680006866</t>
  </si>
  <si>
    <t>Material Girl Juniors Metallic Lace Bodysui Black Combo S</t>
  </si>
  <si>
    <t>50140MG</t>
  </si>
  <si>
    <t>FEEL FLOWS</t>
  </si>
  <si>
    <t>ERJKT03150</t>
  </si>
  <si>
    <t>889775096698</t>
  </si>
  <si>
    <t>768594155703</t>
  </si>
  <si>
    <t>889775093093</t>
  </si>
  <si>
    <t>American Rag Lace-Inset High-Low Peasant To Chilli Pepper L</t>
  </si>
  <si>
    <t>889775090689</t>
  </si>
  <si>
    <t>889775094489</t>
  </si>
  <si>
    <t>American Rag Crocheted Crop Top Oatmeal Combo L</t>
  </si>
  <si>
    <t>B6448CBNM</t>
  </si>
  <si>
    <t>JK1280T1GLNM</t>
  </si>
  <si>
    <t>637677233372</t>
  </si>
  <si>
    <t>Belle Du Jour Juniors Cardigan, T-Shirt and Patriot Blue L</t>
  </si>
  <si>
    <t>637677237103</t>
  </si>
  <si>
    <t>Belle Du Jour Juniors Cardigan, T-Shirt and Heather Oatmeal S</t>
  </si>
  <si>
    <t>19509MC</t>
  </si>
  <si>
    <t>841060127029</t>
  </si>
  <si>
    <t>Hippie Rose Juniors Zip-Front Velour Hood Spicy Sangria L</t>
  </si>
  <si>
    <t>706256570495</t>
  </si>
  <si>
    <t>GEO BURST FL YOGA BT</t>
  </si>
  <si>
    <t>M6O10BK212</t>
  </si>
  <si>
    <t>FALL FEATHER CRP LEG</t>
  </si>
  <si>
    <t>M6O37FF212</t>
  </si>
  <si>
    <t>706256576374</t>
  </si>
  <si>
    <t>706256895130</t>
  </si>
  <si>
    <t>METALLIC LOVE CROP</t>
  </si>
  <si>
    <t>M61157</t>
  </si>
  <si>
    <t>706257020203</t>
  </si>
  <si>
    <t>STACKED LOVE CROP LE</t>
  </si>
  <si>
    <t>M61238</t>
  </si>
  <si>
    <t>H6F0145</t>
  </si>
  <si>
    <t>645545947061</t>
  </si>
  <si>
    <t>Rebellious One Juniors French Fries Graphic Heather Charcoal S</t>
  </si>
  <si>
    <t>645545947085</t>
  </si>
  <si>
    <t>Rebellious One Juniors French Fries Graphic Heather Charcoal L</t>
  </si>
  <si>
    <t>889602138188</t>
  </si>
  <si>
    <t>Jessica Simpson Juniors Graphic Tank Top Glowing White XL</t>
  </si>
  <si>
    <t>3K31968MC</t>
  </si>
  <si>
    <t>889602138171</t>
  </si>
  <si>
    <t>Jessica Simpson Juniors Graphic Tank Top Glowing White L</t>
  </si>
  <si>
    <t>889775092898</t>
  </si>
  <si>
    <t>FLAWLESS SLASH SS SH</t>
  </si>
  <si>
    <t>M6O03HP212</t>
  </si>
  <si>
    <t>BRIG MAT GIRL ELSTC TANK</t>
  </si>
  <si>
    <t>M6900BW212</t>
  </si>
  <si>
    <t>RI4TYPFAN</t>
  </si>
  <si>
    <t>3634Y94KT1</t>
  </si>
  <si>
    <t>889775031019</t>
  </si>
  <si>
    <t>American Rag Juniors Hooded Pullover Sweat Biking RedBlue Combo M</t>
  </si>
  <si>
    <t>5471YPB3</t>
  </si>
  <si>
    <t>5464TPR3</t>
  </si>
  <si>
    <t>829092230948</t>
  </si>
  <si>
    <t>XOXO Juniors Pleated Plaid Blazer Navy Plaid S</t>
  </si>
  <si>
    <t>822982609510</t>
  </si>
  <si>
    <t>Jessica Simpson Wilma Printed High-Low Top Romantic Floral Print XS</t>
  </si>
  <si>
    <t>8508YPB3</t>
  </si>
  <si>
    <t>1856DS8AT1</t>
  </si>
  <si>
    <t>713701104907</t>
  </si>
  <si>
    <t>American Rag Printed Lace-Inset Hoodie Pale Pink XS</t>
  </si>
  <si>
    <t>12748BAR</t>
  </si>
  <si>
    <t>CX20823SG</t>
  </si>
  <si>
    <t>50135MG</t>
  </si>
  <si>
    <t>50137MG</t>
  </si>
  <si>
    <t>713701095762</t>
  </si>
  <si>
    <t>American Rag Printed Waffle-Knit Lace-Trim Zinfandel Combo M</t>
  </si>
  <si>
    <t>6FK23</t>
  </si>
  <si>
    <t>713701095748</t>
  </si>
  <si>
    <t>American Rag Printed Waffle-Knit Lace-Trim Zinfandel Combo XS</t>
  </si>
  <si>
    <t>VOLCOM INC</t>
  </si>
  <si>
    <t>826409524691</t>
  </si>
  <si>
    <t>BCX Juniors Lace-Up Cowl-Neck Swe White S</t>
  </si>
  <si>
    <t>746194692941</t>
  </si>
  <si>
    <t>Material Girl Juniors Off-The-Shoulder Body Black L</t>
  </si>
  <si>
    <t>826409495748</t>
  </si>
  <si>
    <t>BCX Juniors High-Low Layered-Look Bordeaux M</t>
  </si>
  <si>
    <t>826409495731</t>
  </si>
  <si>
    <t>BCX Juniors High-Low Layered-Look Bordeaux S</t>
  </si>
  <si>
    <t>826409495724</t>
  </si>
  <si>
    <t>BCX Juniors High-Low Layered-Look Bordeaux XS</t>
  </si>
  <si>
    <t>746194687466</t>
  </si>
  <si>
    <t>Material Girl Juniors Flocked Mesh Bodysuit Black S</t>
  </si>
  <si>
    <t>887043694096</t>
  </si>
  <si>
    <t>Celebrity Pink Juniors Paisley Metallic-Prin BlackMetallic Print 1</t>
  </si>
  <si>
    <t>713701108547</t>
  </si>
  <si>
    <t>American Rag Juniors Lace Contrast Henley Zinfandel M</t>
  </si>
  <si>
    <t>713701108769</t>
  </si>
  <si>
    <t>American Rag Juniors Lace Contrast Henley Coastal Fjord L</t>
  </si>
  <si>
    <t>713701108479</t>
  </si>
  <si>
    <t>American Rag Juniors Lace Contrast Henley Dusty Olive M</t>
  </si>
  <si>
    <t>RR5403C9MZ</t>
  </si>
  <si>
    <t>706256894614</t>
  </si>
  <si>
    <t>Material Girl Active Juniors Metallic Zip H Silver Metallic S</t>
  </si>
  <si>
    <t>CJ21034P1739</t>
  </si>
  <si>
    <t>887043693709</t>
  </si>
  <si>
    <t>Celebrity Pink Juniors Flocked Skinny Jeans Black 15</t>
  </si>
  <si>
    <t>887043693631</t>
  </si>
  <si>
    <t>Celebrity Pink Juniors Flocked Skinny Jeans Black 1</t>
  </si>
  <si>
    <t>887043693648</t>
  </si>
  <si>
    <t>Celebrity Pink Juniors Flocked Skinny Jeans Black 3</t>
  </si>
  <si>
    <t>829092199160</t>
  </si>
  <si>
    <t>XOXO Juniors Printed Smocked-Neck Multi M</t>
  </si>
  <si>
    <t>3451PKC3</t>
  </si>
  <si>
    <t>MYB019619</t>
  </si>
  <si>
    <t>405525A</t>
  </si>
  <si>
    <t>FREESTYLE REVOLUTION/ESSENTIALS NY</t>
  </si>
  <si>
    <t>M6918BK212</t>
  </si>
  <si>
    <t>M6O20BK212</t>
  </si>
  <si>
    <t>706256732664</t>
  </si>
  <si>
    <t>Material Girl Active Juniors Lace-Waist Yog Black XXS</t>
  </si>
  <si>
    <t>887069475037</t>
  </si>
  <si>
    <t>Pink Rose Juniors Striped Rib-Knit Fine Medium Heather GreyBlack L</t>
  </si>
  <si>
    <t>CT6062-D353WI68</t>
  </si>
  <si>
    <t>660032592685</t>
  </si>
  <si>
    <t>One Clothing Juniors Sequin Ruffle-Hem Tan Gold S</t>
  </si>
  <si>
    <t>3B500MC</t>
  </si>
  <si>
    <t>887854010986</t>
  </si>
  <si>
    <t>Miss Chievous Juniors Lace-Trim V-Neck Tuni Black M</t>
  </si>
  <si>
    <t>841060125056</t>
  </si>
  <si>
    <t>Hippie Rose Juniors Dolman-Sleeve Graphic Olive Branch XL</t>
  </si>
  <si>
    <t>GJ1264IE</t>
  </si>
  <si>
    <t>841060124882</t>
  </si>
  <si>
    <t>Hippie Rose Juniors Long-Sleeve Asymmetri MoonstoneLight Heather Grey M</t>
  </si>
  <si>
    <t>887069551397</t>
  </si>
  <si>
    <t>Material Girl Juniors Pull-On Faux-Leather Caviar Black S</t>
  </si>
  <si>
    <t>40034MG</t>
  </si>
  <si>
    <t>190371272509</t>
  </si>
  <si>
    <t>Bioworld Juniors DC Comics Wonder Woma Red L</t>
  </si>
  <si>
    <t>H6F0113</t>
  </si>
  <si>
    <t>841060121393</t>
  </si>
  <si>
    <t>Hippie Rose Juniors Pullover Hoodie Medium Heather GreyIvory L</t>
  </si>
  <si>
    <t>705143715155</t>
  </si>
  <si>
    <t>Energie Juniors Fiona Tulip-Back Grap Caviarelectric S</t>
  </si>
  <si>
    <t>887069171687</t>
  </si>
  <si>
    <t>Material Girl Juniors Faux-Leather Leggings Caviar Black S</t>
  </si>
  <si>
    <t>PC19065BLK</t>
  </si>
  <si>
    <t>PC19064BLK</t>
  </si>
  <si>
    <t>887069171632</t>
  </si>
  <si>
    <t>Material Girl Juniors High-Waist Faux-Leath Caviar Black M</t>
  </si>
  <si>
    <t>887069171694</t>
  </si>
  <si>
    <t>Material Girl Juniors Faux-Leather Leggings Caviar Black M</t>
  </si>
  <si>
    <t>887069171625</t>
  </si>
  <si>
    <t>Material Girl Juniors High-Waist Faux-Leath Caviar Black S</t>
  </si>
  <si>
    <t>887069171670</t>
  </si>
  <si>
    <t>Material Girl Juniors Faux-Leather Leggings Caviar Black XS</t>
  </si>
  <si>
    <t>887069171700</t>
  </si>
  <si>
    <t>Material Girl Juniors Faux-Leather Leggings Caviar Black L</t>
  </si>
  <si>
    <t>190040298373</t>
  </si>
  <si>
    <t>Almost Famous Juniors Lace-Trim Roll-Sleeve Burgundy L</t>
  </si>
  <si>
    <t>H6S0098</t>
  </si>
  <si>
    <t>695532481139</t>
  </si>
  <si>
    <t>Ultra Flirt Juniors Cowl-Neck Waffle-Knit Olive M</t>
  </si>
  <si>
    <t>TJSJ046-8K66</t>
  </si>
  <si>
    <t>3C834MC</t>
  </si>
  <si>
    <t>645545926141</t>
  </si>
  <si>
    <t>Rebellious One Juniors Tie-Front Top Olive L</t>
  </si>
  <si>
    <t>887648644618</t>
  </si>
  <si>
    <t>Trolls by DreamWorks Juniors Trolls Graphic Raglan WhiteGrey Heather S</t>
  </si>
  <si>
    <t>645545932845</t>
  </si>
  <si>
    <t>Material Girl Active Juniors Racerback Spor Black XS</t>
  </si>
  <si>
    <t>A2JT086</t>
  </si>
  <si>
    <t>705143701561</t>
  </si>
  <si>
    <t>Energie Energie Juniors Mila V-Neck T Boysenberry XS</t>
  </si>
  <si>
    <t>DTK NYLON SPARKLE CK SWE</t>
  </si>
  <si>
    <t>42YS362</t>
  </si>
  <si>
    <t>B OR MED</t>
  </si>
  <si>
    <t>637865191729</t>
  </si>
  <si>
    <t>Calvin Klein Jeans Marled High-Low-Hem Top Black White Combo XL</t>
  </si>
  <si>
    <t>829092317052</t>
  </si>
  <si>
    <t>XOXO Juniors Striped Cold-Shoulder GreenBlack S</t>
  </si>
  <si>
    <t>9746OTS8</t>
  </si>
  <si>
    <t>886680025812</t>
  </si>
  <si>
    <t>713701116283</t>
  </si>
  <si>
    <t>889775093642</t>
  </si>
  <si>
    <t>OTS STRAPPY 2FER</t>
  </si>
  <si>
    <t>10379MG</t>
  </si>
  <si>
    <t>886680033992</t>
  </si>
  <si>
    <t>886680034029</t>
  </si>
  <si>
    <t>I452365E4</t>
  </si>
  <si>
    <t>886680006859</t>
  </si>
  <si>
    <t>Material Girl Juniors Metallic Lace Bodysui Black Combo XS</t>
  </si>
  <si>
    <t>889775093789</t>
  </si>
  <si>
    <t>SOFT LACE INSET SHOR</t>
  </si>
  <si>
    <t>6HN90</t>
  </si>
  <si>
    <t>20204MG</t>
  </si>
  <si>
    <t>889775090467</t>
  </si>
  <si>
    <t>889775090610</t>
  </si>
  <si>
    <t>889775090474</t>
  </si>
  <si>
    <t>889775090559</t>
  </si>
  <si>
    <t>889775090696</t>
  </si>
  <si>
    <t>614015985711</t>
  </si>
  <si>
    <t>Rewash Juniors Ripped Blue Wash Skin Blue Wash 3</t>
  </si>
  <si>
    <t>J12175AG2</t>
  </si>
  <si>
    <t>J12175B9H</t>
  </si>
  <si>
    <t>BLK ZIP SHLDR PLTH PKT</t>
  </si>
  <si>
    <t>1092V4X</t>
  </si>
  <si>
    <t>841413126341</t>
  </si>
  <si>
    <t>OhMG Juniors Yaasss Sequin Pullove BlackRed S</t>
  </si>
  <si>
    <t>J63873M</t>
  </si>
  <si>
    <t>190040312215</t>
  </si>
  <si>
    <t>Almost Famous Juniors Striped Fringe Waterf BlackRed S</t>
  </si>
  <si>
    <t>889901163645</t>
  </si>
  <si>
    <t>Hooked Up by IOT Juniors Shine Donuts Pullover Light Grey Heather S</t>
  </si>
  <si>
    <t>889602133787</t>
  </si>
  <si>
    <t>Jessica Simpson Juniors Open-Back Compression Tracery S</t>
  </si>
  <si>
    <t>190040349471</t>
  </si>
  <si>
    <t>Almost Famous Juniors Patch Knit Bomber Jac Burgundy M</t>
  </si>
  <si>
    <t>SP6086MAC</t>
  </si>
  <si>
    <t>COCOA</t>
  </si>
  <si>
    <t>889602128790</t>
  </si>
  <si>
    <t>Freshman Juniors Sleeveless Cowl-Neck Light Heather Grey L</t>
  </si>
  <si>
    <t>5T52793MC</t>
  </si>
  <si>
    <t>889602128776</t>
  </si>
  <si>
    <t>Freshman Juniors Sleeveless Cowl-Neck Light Heather Grey S</t>
  </si>
  <si>
    <t>H6F0147</t>
  </si>
  <si>
    <t>841060127005</t>
  </si>
  <si>
    <t>Hippie Rose Juniors Zip-Front Velour Hood Spicy Sangria S</t>
  </si>
  <si>
    <t>706256570761</t>
  </si>
  <si>
    <t>Charter Club Velour Pants Navy L</t>
  </si>
  <si>
    <t>706256732527</t>
  </si>
  <si>
    <t>CRACKLE CROP YOGA BT</t>
  </si>
  <si>
    <t>M61158</t>
  </si>
  <si>
    <t>841060126657</t>
  </si>
  <si>
    <t>DRAFT - Hippie Rose Juniors V Pioneer OliveIvory M</t>
  </si>
  <si>
    <t>841060126541</t>
  </si>
  <si>
    <t>DRAFT - Hippie Rose Juniors V Dixie GarnetIvory Stripe S</t>
  </si>
  <si>
    <t>889775093499</t>
  </si>
  <si>
    <t>645545947078</t>
  </si>
  <si>
    <t>Rebellious One Juniors French Fries Graphic Heather Charcoal M</t>
  </si>
  <si>
    <t>889602138119</t>
  </si>
  <si>
    <t>Jessica Simpson Juniors Graphic Tank Top Flutter Pink M</t>
  </si>
  <si>
    <t>3K31969MC</t>
  </si>
  <si>
    <t>706256917764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</si>
</sst>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_);[Red]\(&quot;$&quot;#,##0.00\)"/>
  </numFmts>
  <fonts count="4" x14ac:knownFonts="1">
    <font>
      <sz val="11"/>
      <color theme="1"/>
      <name val="Calibri"/>
      <family val="2"/>
      <scheme val="minor"/>
    </font>
    <font>
      <sz val="11"/>
      <color indexed="8"/>
      <name val="Cambria"/>
      <family val="1"/>
    </font>
    <font>
      <b/>
      <sz val="11"/>
      <color indexed="8"/>
      <name val="Cambria"/>
      <family val="1"/>
    </font>
    <font>
      <u/>
      <sz val="11"/>
      <color indexed="12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1" xfId="0" applyFont="1" applyBorder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9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" fontId="1" fillId="0" borderId="0" xfId="0" applyNumberFormat="1" applyFont="1" applyAlignment="1">
      <alignment horizontal="center" wrapText="1"/>
    </xf>
    <xf numFmtId="164" fontId="1" fillId="0" borderId="0" xfId="0" applyNumberFormat="1" applyFont="1" applyAlignment="1">
      <alignment wrapText="1"/>
    </xf>
    <xf numFmtId="164" fontId="1" fillId="0" borderId="0" xfId="0" applyNumberFormat="1" applyFont="1" applyAlignment="1">
      <alignment horizontal="right" wrapText="1"/>
    </xf>
    <xf numFmtId="49" fontId="1" fillId="0" borderId="0" xfId="0" applyNumberFormat="1" applyFont="1" applyAlignment="1">
      <alignment horizontal="center" wrapText="1"/>
    </xf>
    <xf numFmtId="0" fontId="3" fillId="0" borderId="0" xfId="0" applyFont="1" applyAlignment="1">
      <alignment wrapText="1"/>
    </xf>
    <xf numFmtId="0" fontId="1" fillId="0" borderId="0" xfId="0" applyFont="1" applyBorder="1"/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1</xdr:row>
      <xdr:rowOff>9525</xdr:rowOff>
    </xdr:from>
    <xdr:to>
      <xdr:col>10</xdr:col>
      <xdr:colOff>161925</xdr:colOff>
      <xdr:row>10</xdr:row>
      <xdr:rowOff>123825</xdr:rowOff>
    </xdr:to>
    <xdr:pic>
      <xdr:nvPicPr>
        <xdr:cNvPr id="204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86325" y="200025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552450</xdr:colOff>
      <xdr:row>1</xdr:row>
      <xdr:rowOff>9525</xdr:rowOff>
    </xdr:from>
    <xdr:to>
      <xdr:col>7</xdr:col>
      <xdr:colOff>95250</xdr:colOff>
      <xdr:row>10</xdr:row>
      <xdr:rowOff>123825</xdr:rowOff>
    </xdr:to>
    <xdr:pic>
      <xdr:nvPicPr>
        <xdr:cNvPr id="2050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90850" y="200025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0</xdr:row>
      <xdr:rowOff>190500</xdr:rowOff>
    </xdr:from>
    <xdr:to>
      <xdr:col>3</xdr:col>
      <xdr:colOff>609600</xdr:colOff>
      <xdr:row>10</xdr:row>
      <xdr:rowOff>114300</xdr:rowOff>
    </xdr:to>
    <xdr:pic>
      <xdr:nvPicPr>
        <xdr:cNvPr id="2051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6800" y="190500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31</xdr:row>
      <xdr:rowOff>0</xdr:rowOff>
    </xdr:from>
    <xdr:to>
      <xdr:col>10</xdr:col>
      <xdr:colOff>161925</xdr:colOff>
      <xdr:row>40</xdr:row>
      <xdr:rowOff>114300</xdr:rowOff>
    </xdr:to>
    <xdr:pic>
      <xdr:nvPicPr>
        <xdr:cNvPr id="2052" name="Picture 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886325" y="5905500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590550</xdr:colOff>
      <xdr:row>31</xdr:row>
      <xdr:rowOff>0</xdr:rowOff>
    </xdr:from>
    <xdr:to>
      <xdr:col>7</xdr:col>
      <xdr:colOff>133350</xdr:colOff>
      <xdr:row>40</xdr:row>
      <xdr:rowOff>114300</xdr:rowOff>
    </xdr:to>
    <xdr:pic>
      <xdr:nvPicPr>
        <xdr:cNvPr id="2053" name="Picture 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28950" y="5905500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466725</xdr:colOff>
      <xdr:row>30</xdr:row>
      <xdr:rowOff>190500</xdr:rowOff>
    </xdr:from>
    <xdr:to>
      <xdr:col>4</xdr:col>
      <xdr:colOff>9525</xdr:colOff>
      <xdr:row>40</xdr:row>
      <xdr:rowOff>114300</xdr:rowOff>
    </xdr:to>
    <xdr:pic>
      <xdr:nvPicPr>
        <xdr:cNvPr id="2054" name="Picture 9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6325" y="5905500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466725</xdr:colOff>
      <xdr:row>21</xdr:row>
      <xdr:rowOff>9525</xdr:rowOff>
    </xdr:from>
    <xdr:to>
      <xdr:col>11</xdr:col>
      <xdr:colOff>0</xdr:colOff>
      <xdr:row>30</xdr:row>
      <xdr:rowOff>123825</xdr:rowOff>
    </xdr:to>
    <xdr:pic>
      <xdr:nvPicPr>
        <xdr:cNvPr id="2055" name="Picture 1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343525" y="4010025"/>
          <a:ext cx="13620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20</xdr:row>
      <xdr:rowOff>180975</xdr:rowOff>
    </xdr:from>
    <xdr:to>
      <xdr:col>8</xdr:col>
      <xdr:colOff>342900</xdr:colOff>
      <xdr:row>30</xdr:row>
      <xdr:rowOff>104775</xdr:rowOff>
    </xdr:to>
    <xdr:pic>
      <xdr:nvPicPr>
        <xdr:cNvPr id="2056" name="Picture 1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48100" y="3990975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41</xdr:row>
      <xdr:rowOff>9525</xdr:rowOff>
    </xdr:from>
    <xdr:to>
      <xdr:col>5</xdr:col>
      <xdr:colOff>419100</xdr:colOff>
      <xdr:row>50</xdr:row>
      <xdr:rowOff>114300</xdr:rowOff>
    </xdr:to>
    <xdr:pic>
      <xdr:nvPicPr>
        <xdr:cNvPr id="2057" name="Picture 14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95500" y="7820025"/>
          <a:ext cx="137160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3</xdr:col>
      <xdr:colOff>152400</xdr:colOff>
      <xdr:row>50</xdr:row>
      <xdr:rowOff>114300</xdr:rowOff>
    </xdr:to>
    <xdr:pic>
      <xdr:nvPicPr>
        <xdr:cNvPr id="2058" name="Picture 15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9600" y="7810500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51</xdr:row>
      <xdr:rowOff>9525</xdr:rowOff>
    </xdr:from>
    <xdr:to>
      <xdr:col>10</xdr:col>
      <xdr:colOff>161925</xdr:colOff>
      <xdr:row>60</xdr:row>
      <xdr:rowOff>114300</xdr:rowOff>
    </xdr:to>
    <xdr:pic>
      <xdr:nvPicPr>
        <xdr:cNvPr id="2059" name="Picture 16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86325" y="9725025"/>
          <a:ext cx="137160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466725</xdr:colOff>
      <xdr:row>41</xdr:row>
      <xdr:rowOff>0</xdr:rowOff>
    </xdr:from>
    <xdr:to>
      <xdr:col>11</xdr:col>
      <xdr:colOff>9525</xdr:colOff>
      <xdr:row>50</xdr:row>
      <xdr:rowOff>114300</xdr:rowOff>
    </xdr:to>
    <xdr:pic>
      <xdr:nvPicPr>
        <xdr:cNvPr id="2060" name="Picture 17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343525" y="7810500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552450</xdr:colOff>
      <xdr:row>50</xdr:row>
      <xdr:rowOff>190500</xdr:rowOff>
    </xdr:from>
    <xdr:to>
      <xdr:col>7</xdr:col>
      <xdr:colOff>95250</xdr:colOff>
      <xdr:row>60</xdr:row>
      <xdr:rowOff>114300</xdr:rowOff>
    </xdr:to>
    <xdr:pic>
      <xdr:nvPicPr>
        <xdr:cNvPr id="2061" name="Picture 18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990850" y="9715500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50</xdr:row>
      <xdr:rowOff>190500</xdr:rowOff>
    </xdr:from>
    <xdr:to>
      <xdr:col>4</xdr:col>
      <xdr:colOff>0</xdr:colOff>
      <xdr:row>60</xdr:row>
      <xdr:rowOff>104775</xdr:rowOff>
    </xdr:to>
    <xdr:pic>
      <xdr:nvPicPr>
        <xdr:cNvPr id="2062" name="Picture 19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66800" y="9715500"/>
          <a:ext cx="137160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41</xdr:row>
      <xdr:rowOff>0</xdr:rowOff>
    </xdr:from>
    <xdr:to>
      <xdr:col>8</xdr:col>
      <xdr:colOff>361950</xdr:colOff>
      <xdr:row>50</xdr:row>
      <xdr:rowOff>123825</xdr:rowOff>
    </xdr:to>
    <xdr:pic>
      <xdr:nvPicPr>
        <xdr:cNvPr id="2063" name="Picture 2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57625" y="7810500"/>
          <a:ext cx="138112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552450</xdr:colOff>
      <xdr:row>11</xdr:row>
      <xdr:rowOff>0</xdr:rowOff>
    </xdr:from>
    <xdr:to>
      <xdr:col>7</xdr:col>
      <xdr:colOff>95250</xdr:colOff>
      <xdr:row>20</xdr:row>
      <xdr:rowOff>114300</xdr:rowOff>
    </xdr:to>
    <xdr:pic>
      <xdr:nvPicPr>
        <xdr:cNvPr id="2064" name="Picture 2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990850" y="2095500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11</xdr:row>
      <xdr:rowOff>9525</xdr:rowOff>
    </xdr:from>
    <xdr:to>
      <xdr:col>3</xdr:col>
      <xdr:colOff>609600</xdr:colOff>
      <xdr:row>20</xdr:row>
      <xdr:rowOff>123825</xdr:rowOff>
    </xdr:to>
    <xdr:pic>
      <xdr:nvPicPr>
        <xdr:cNvPr id="2065" name="Picture 2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66800" y="2105025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609600</xdr:colOff>
      <xdr:row>10</xdr:row>
      <xdr:rowOff>190500</xdr:rowOff>
    </xdr:from>
    <xdr:to>
      <xdr:col>10</xdr:col>
      <xdr:colOff>152400</xdr:colOff>
      <xdr:row>20</xdr:row>
      <xdr:rowOff>114300</xdr:rowOff>
    </xdr:to>
    <xdr:pic>
      <xdr:nvPicPr>
        <xdr:cNvPr id="2066" name="Picture 23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876800" y="2095500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21</xdr:row>
      <xdr:rowOff>9525</xdr:rowOff>
    </xdr:from>
    <xdr:to>
      <xdr:col>5</xdr:col>
      <xdr:colOff>438150</xdr:colOff>
      <xdr:row>30</xdr:row>
      <xdr:rowOff>123825</xdr:rowOff>
    </xdr:to>
    <xdr:pic>
      <xdr:nvPicPr>
        <xdr:cNvPr id="2067" name="Picture 24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14550" y="4010025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21</xdr:row>
      <xdr:rowOff>9525</xdr:rowOff>
    </xdr:from>
    <xdr:to>
      <xdr:col>3</xdr:col>
      <xdr:colOff>171450</xdr:colOff>
      <xdr:row>30</xdr:row>
      <xdr:rowOff>123825</xdr:rowOff>
    </xdr:to>
    <xdr:pic>
      <xdr:nvPicPr>
        <xdr:cNvPr id="2068" name="Picture 25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28650" y="4010025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tabSelected="1" workbookViewId="0">
      <selection activeCell="I12" sqref="I12"/>
    </sheetView>
  </sheetViews>
  <sheetFormatPr defaultRowHeight="14.25" x14ac:dyDescent="0.2"/>
  <cols>
    <col min="1" max="1" width="9.140625" style="1"/>
    <col min="2" max="2" width="26" style="4" bestFit="1" customWidth="1"/>
    <col min="3" max="3" width="8" style="4" bestFit="1" customWidth="1"/>
    <col min="4" max="4" width="6.42578125" style="4" bestFit="1" customWidth="1"/>
    <col min="5" max="5" width="9" style="4" bestFit="1" customWidth="1"/>
    <col min="6" max="6" width="11.42578125" style="4" bestFit="1" customWidth="1"/>
    <col min="7" max="16384" width="9.140625" style="1"/>
  </cols>
  <sheetData>
    <row r="1" spans="1:11" ht="15" thickBot="1" x14ac:dyDescent="0.25"/>
    <row r="2" spans="1:11" s="2" customFormat="1" ht="15" thickBot="1" x14ac:dyDescent="0.25">
      <c r="B2" s="14" t="s">
        <v>250</v>
      </c>
      <c r="C2" s="15" t="s">
        <v>235</v>
      </c>
      <c r="D2" s="15" t="s">
        <v>236</v>
      </c>
      <c r="E2" s="15" t="s">
        <v>237</v>
      </c>
      <c r="F2" s="16" t="s">
        <v>238</v>
      </c>
    </row>
    <row r="3" spans="1:11" x14ac:dyDescent="0.2">
      <c r="A3" s="3"/>
      <c r="B3" s="17" t="s">
        <v>254</v>
      </c>
      <c r="C3" s="18">
        <v>1</v>
      </c>
      <c r="D3" s="18">
        <v>502</v>
      </c>
      <c r="E3" s="18">
        <v>6</v>
      </c>
      <c r="F3" s="19" t="s">
        <v>234</v>
      </c>
    </row>
    <row r="4" spans="1:11" x14ac:dyDescent="0.2">
      <c r="A4" s="3"/>
      <c r="B4" s="17" t="s">
        <v>254</v>
      </c>
      <c r="C4" s="18">
        <v>1</v>
      </c>
      <c r="D4" s="20">
        <v>500</v>
      </c>
      <c r="E4" s="20">
        <v>6</v>
      </c>
      <c r="F4" s="21" t="s">
        <v>234</v>
      </c>
    </row>
    <row r="5" spans="1:11" x14ac:dyDescent="0.2">
      <c r="A5" s="3"/>
      <c r="B5" s="17" t="s">
        <v>254</v>
      </c>
      <c r="C5" s="18">
        <v>1</v>
      </c>
      <c r="D5" s="20">
        <v>502</v>
      </c>
      <c r="E5" s="20">
        <v>5</v>
      </c>
      <c r="F5" s="21" t="s">
        <v>234</v>
      </c>
    </row>
    <row r="6" spans="1:11" x14ac:dyDescent="0.2">
      <c r="A6" s="3"/>
      <c r="B6" s="17" t="s">
        <v>254</v>
      </c>
      <c r="C6" s="18">
        <v>1</v>
      </c>
      <c r="D6" s="20">
        <v>500</v>
      </c>
      <c r="E6" s="20">
        <v>6</v>
      </c>
      <c r="F6" s="21" t="s">
        <v>234</v>
      </c>
    </row>
    <row r="7" spans="1:11" ht="15" thickBot="1" x14ac:dyDescent="0.25">
      <c r="A7" s="3"/>
      <c r="B7" s="22" t="s">
        <v>254</v>
      </c>
      <c r="C7" s="23">
        <v>1</v>
      </c>
      <c r="D7" s="23">
        <v>500</v>
      </c>
      <c r="E7" s="23">
        <v>5</v>
      </c>
      <c r="F7" s="24" t="s">
        <v>234</v>
      </c>
    </row>
    <row r="8" spans="1:11" x14ac:dyDescent="0.2">
      <c r="B8" s="25"/>
      <c r="C8" s="25"/>
      <c r="D8" s="25"/>
      <c r="E8" s="25"/>
      <c r="F8" s="25"/>
    </row>
    <row r="9" spans="1:11" x14ac:dyDescent="0.2">
      <c r="B9" s="25"/>
      <c r="C9" s="25"/>
      <c r="D9" s="25"/>
      <c r="E9" s="25"/>
      <c r="F9" s="25"/>
    </row>
    <row r="10" spans="1:11" ht="15" thickBot="1" x14ac:dyDescent="0.25">
      <c r="B10" s="25"/>
      <c r="C10" s="25"/>
      <c r="D10" s="25"/>
      <c r="E10" s="25"/>
      <c r="F10" s="25"/>
    </row>
    <row r="11" spans="1:11" ht="15" thickBot="1" x14ac:dyDescent="0.25">
      <c r="B11" s="14" t="s">
        <v>251</v>
      </c>
      <c r="C11" s="15" t="s">
        <v>235</v>
      </c>
      <c r="D11" s="15" t="s">
        <v>236</v>
      </c>
      <c r="E11" s="15" t="s">
        <v>237</v>
      </c>
      <c r="F11" s="16" t="s">
        <v>238</v>
      </c>
    </row>
    <row r="12" spans="1:11" x14ac:dyDescent="0.2">
      <c r="A12" s="3"/>
      <c r="B12" s="17" t="s">
        <v>253</v>
      </c>
      <c r="C12" s="18">
        <v>1</v>
      </c>
      <c r="D12" s="18">
        <v>1300</v>
      </c>
      <c r="E12" s="18">
        <v>1</v>
      </c>
      <c r="F12" s="26" t="s">
        <v>252</v>
      </c>
    </row>
    <row r="13" spans="1:11" x14ac:dyDescent="0.2">
      <c r="A13" s="3"/>
      <c r="B13" s="17" t="s">
        <v>253</v>
      </c>
      <c r="C13" s="18">
        <v>1</v>
      </c>
      <c r="D13" s="20">
        <v>1300</v>
      </c>
      <c r="E13" s="20">
        <v>1</v>
      </c>
      <c r="F13" s="19" t="s">
        <v>252</v>
      </c>
      <c r="K13" s="13"/>
    </row>
    <row r="14" spans="1:11" x14ac:dyDescent="0.2">
      <c r="A14" s="3"/>
      <c r="B14" s="17" t="s">
        <v>253</v>
      </c>
      <c r="C14" s="18">
        <v>1</v>
      </c>
      <c r="D14" s="20">
        <v>1300</v>
      </c>
      <c r="E14" s="20">
        <v>1</v>
      </c>
      <c r="F14" s="19" t="s">
        <v>252</v>
      </c>
    </row>
    <row r="15" spans="1:11" x14ac:dyDescent="0.2">
      <c r="A15" s="3"/>
      <c r="B15" s="17" t="s">
        <v>253</v>
      </c>
      <c r="C15" s="18">
        <v>1</v>
      </c>
      <c r="D15" s="20">
        <v>1300</v>
      </c>
      <c r="E15" s="20">
        <v>1</v>
      </c>
      <c r="F15" s="19" t="s">
        <v>252</v>
      </c>
      <c r="K15" s="13"/>
    </row>
    <row r="16" spans="1:11" ht="15" thickBot="1" x14ac:dyDescent="0.25">
      <c r="A16" s="3"/>
      <c r="B16" s="22" t="s">
        <v>253</v>
      </c>
      <c r="C16" s="23">
        <v>1</v>
      </c>
      <c r="D16" s="23">
        <v>1300</v>
      </c>
      <c r="E16" s="23">
        <v>1</v>
      </c>
      <c r="F16" s="24" t="s">
        <v>252</v>
      </c>
    </row>
    <row r="17" spans="8:8" x14ac:dyDescent="0.2">
      <c r="H17" s="13"/>
    </row>
  </sheetData>
  <phoneticPr fontId="0" type="noConversion"/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0"/>
  <sheetViews>
    <sheetView workbookViewId="0">
      <selection activeCell="B18" sqref="B18"/>
    </sheetView>
  </sheetViews>
  <sheetFormatPr defaultRowHeight="15.2" customHeight="1" x14ac:dyDescent="0.2"/>
  <cols>
    <col min="1" max="1" width="14.85546875" style="1" bestFit="1" customWidth="1"/>
    <col min="2" max="2" width="71.5703125" style="1" bestFit="1" customWidth="1"/>
    <col min="3" max="3" width="6.42578125" style="1" bestFit="1" customWidth="1"/>
    <col min="4" max="4" width="7.5703125" style="1" bestFit="1" customWidth="1"/>
    <col min="5" max="5" width="9.5703125" style="1" bestFit="1" customWidth="1"/>
    <col min="6" max="6" width="7.5703125" style="1" bestFit="1" customWidth="1"/>
    <col min="7" max="7" width="11.140625" style="1" bestFit="1" customWidth="1"/>
    <col min="8" max="8" width="22.7109375" style="1" bestFit="1" customWidth="1"/>
    <col min="9" max="9" width="14.7109375" style="1" bestFit="1" customWidth="1"/>
    <col min="10" max="10" width="12.85546875" style="1" bestFit="1" customWidth="1"/>
    <col min="11" max="11" width="16.42578125" style="1" bestFit="1" customWidth="1"/>
    <col min="12" max="12" width="43.7109375" style="1" bestFit="1" customWidth="1"/>
    <col min="13" max="13" width="49.42578125" style="1" bestFit="1" customWidth="1"/>
    <col min="14" max="16384" width="9.140625" style="1"/>
  </cols>
  <sheetData>
    <row r="1" spans="1:13" ht="15.2" customHeight="1" x14ac:dyDescent="0.2">
      <c r="A1" s="5" t="s">
        <v>3181</v>
      </c>
      <c r="B1" s="5" t="s">
        <v>249</v>
      </c>
      <c r="C1" s="5" t="s">
        <v>236</v>
      </c>
      <c r="D1" s="5" t="s">
        <v>247</v>
      </c>
      <c r="E1" s="5" t="s">
        <v>248</v>
      </c>
      <c r="F1" s="5" t="s">
        <v>239</v>
      </c>
      <c r="G1" s="5" t="s">
        <v>240</v>
      </c>
      <c r="H1" s="5" t="s">
        <v>241</v>
      </c>
      <c r="I1" s="5" t="s">
        <v>242</v>
      </c>
      <c r="J1" s="5" t="s">
        <v>243</v>
      </c>
      <c r="K1" s="5" t="s">
        <v>244</v>
      </c>
      <c r="L1" s="5" t="s">
        <v>245</v>
      </c>
      <c r="M1" s="5" t="s">
        <v>246</v>
      </c>
    </row>
    <row r="2" spans="1:13" ht="15.2" customHeight="1" x14ac:dyDescent="0.2">
      <c r="A2" s="6" t="s">
        <v>2479</v>
      </c>
      <c r="B2" s="7" t="s">
        <v>2480</v>
      </c>
      <c r="C2" s="8">
        <v>1</v>
      </c>
      <c r="D2" s="9">
        <v>29</v>
      </c>
      <c r="E2" s="9">
        <v>29</v>
      </c>
      <c r="F2" s="10">
        <v>99</v>
      </c>
      <c r="G2" s="9">
        <v>99</v>
      </c>
      <c r="H2" s="8" t="s">
        <v>4216</v>
      </c>
      <c r="I2" s="7" t="s">
        <v>3185</v>
      </c>
      <c r="J2" s="11" t="s">
        <v>3351</v>
      </c>
      <c r="K2" s="7" t="s">
        <v>3205</v>
      </c>
      <c r="L2" s="7" t="s">
        <v>3206</v>
      </c>
      <c r="M2" s="12" t="str">
        <f>HYPERLINK("http://slimages.macys.com/is/image/MCY/1772879 ")</f>
        <v xml:space="preserve">http://slimages.macys.com/is/image/MCY/1772879 </v>
      </c>
    </row>
    <row r="3" spans="1:13" ht="15.2" customHeight="1" x14ac:dyDescent="0.2">
      <c r="A3" s="6" t="s">
        <v>3637</v>
      </c>
      <c r="B3" s="7" t="s">
        <v>3638</v>
      </c>
      <c r="C3" s="8">
        <v>1</v>
      </c>
      <c r="D3" s="9">
        <v>27.49</v>
      </c>
      <c r="E3" s="9">
        <v>27.49</v>
      </c>
      <c r="F3" s="10">
        <v>79.5</v>
      </c>
      <c r="G3" s="9">
        <v>79.5</v>
      </c>
      <c r="H3" s="8" t="s">
        <v>3639</v>
      </c>
      <c r="I3" s="7" t="s">
        <v>3191</v>
      </c>
      <c r="J3" s="11" t="s">
        <v>3195</v>
      </c>
      <c r="K3" s="7" t="s">
        <v>3193</v>
      </c>
      <c r="L3" s="7" t="s">
        <v>3194</v>
      </c>
      <c r="M3" s="12" t="str">
        <f>HYPERLINK("http://slimages.macys.com/is/image/MCY/3743153 ")</f>
        <v xml:space="preserve">http://slimages.macys.com/is/image/MCY/3743153 </v>
      </c>
    </row>
    <row r="4" spans="1:13" ht="15.2" customHeight="1" x14ac:dyDescent="0.2">
      <c r="A4" s="6" t="s">
        <v>2481</v>
      </c>
      <c r="B4" s="7" t="s">
        <v>2482</v>
      </c>
      <c r="C4" s="8">
        <v>1</v>
      </c>
      <c r="D4" s="9">
        <v>26.8</v>
      </c>
      <c r="E4" s="9">
        <v>26.8</v>
      </c>
      <c r="F4" s="10">
        <v>79.5</v>
      </c>
      <c r="G4" s="9">
        <v>79.5</v>
      </c>
      <c r="H4" s="8" t="s">
        <v>3641</v>
      </c>
      <c r="I4" s="7" t="s">
        <v>3191</v>
      </c>
      <c r="J4" s="11"/>
      <c r="K4" s="7" t="s">
        <v>3193</v>
      </c>
      <c r="L4" s="7" t="s">
        <v>3194</v>
      </c>
      <c r="M4" s="12" t="str">
        <f>HYPERLINK("http://slimages.macys.com/is/image/MCY/3010113 ")</f>
        <v xml:space="preserve">http://slimages.macys.com/is/image/MCY/3010113 </v>
      </c>
    </row>
    <row r="5" spans="1:13" ht="15.2" customHeight="1" x14ac:dyDescent="0.2">
      <c r="A5" s="6" t="s">
        <v>2483</v>
      </c>
      <c r="B5" s="7" t="s">
        <v>2484</v>
      </c>
      <c r="C5" s="8">
        <v>1</v>
      </c>
      <c r="D5" s="9">
        <v>26.47</v>
      </c>
      <c r="E5" s="9">
        <v>26.47</v>
      </c>
      <c r="F5" s="10">
        <v>74.5</v>
      </c>
      <c r="G5" s="9">
        <v>74.5</v>
      </c>
      <c r="H5" s="8" t="s">
        <v>3643</v>
      </c>
      <c r="I5" s="7" t="s">
        <v>3191</v>
      </c>
      <c r="J5" s="11"/>
      <c r="K5" s="7" t="s">
        <v>3193</v>
      </c>
      <c r="L5" s="7" t="s">
        <v>3194</v>
      </c>
      <c r="M5" s="12" t="str">
        <f>HYPERLINK("http://slimages.macys.com/is/image/MCY/3979547 ")</f>
        <v xml:space="preserve">http://slimages.macys.com/is/image/MCY/3979547 </v>
      </c>
    </row>
    <row r="6" spans="1:13" ht="15.2" customHeight="1" x14ac:dyDescent="0.2">
      <c r="A6" s="6" t="s">
        <v>3644</v>
      </c>
      <c r="B6" s="7" t="s">
        <v>3645</v>
      </c>
      <c r="C6" s="8">
        <v>1</v>
      </c>
      <c r="D6" s="9">
        <v>25.37</v>
      </c>
      <c r="E6" s="9">
        <v>25.37</v>
      </c>
      <c r="F6" s="10">
        <v>69.5</v>
      </c>
      <c r="G6" s="9">
        <v>69.5</v>
      </c>
      <c r="H6" s="8" t="s">
        <v>3646</v>
      </c>
      <c r="I6" s="7" t="s">
        <v>3182</v>
      </c>
      <c r="J6" s="11" t="s">
        <v>3202</v>
      </c>
      <c r="K6" s="7" t="s">
        <v>3221</v>
      </c>
      <c r="L6" s="7" t="s">
        <v>3224</v>
      </c>
      <c r="M6" s="12" t="str">
        <f>HYPERLINK("http://slimages.macys.com/is/image/MCY/3774615 ")</f>
        <v xml:space="preserve">http://slimages.macys.com/is/image/MCY/3774615 </v>
      </c>
    </row>
    <row r="7" spans="1:13" ht="15.2" customHeight="1" x14ac:dyDescent="0.2">
      <c r="A7" s="6" t="s">
        <v>2485</v>
      </c>
      <c r="B7" s="7" t="s">
        <v>2486</v>
      </c>
      <c r="C7" s="8">
        <v>1</v>
      </c>
      <c r="D7" s="9">
        <v>25.25</v>
      </c>
      <c r="E7" s="9">
        <v>25.25</v>
      </c>
      <c r="F7" s="10">
        <v>79</v>
      </c>
      <c r="G7" s="9">
        <v>79</v>
      </c>
      <c r="H7" s="8" t="s">
        <v>2487</v>
      </c>
      <c r="I7" s="7" t="s">
        <v>3185</v>
      </c>
      <c r="J7" s="11" t="s">
        <v>3186</v>
      </c>
      <c r="K7" s="7" t="s">
        <v>3217</v>
      </c>
      <c r="L7" s="7" t="s">
        <v>3218</v>
      </c>
      <c r="M7" s="12" t="str">
        <f>HYPERLINK("http://slimages.macys.com/is/image/MCY/3801912 ")</f>
        <v xml:space="preserve">http://slimages.macys.com/is/image/MCY/3801912 </v>
      </c>
    </row>
    <row r="8" spans="1:13" ht="15.2" customHeight="1" x14ac:dyDescent="0.2">
      <c r="A8" s="6" t="s">
        <v>2488</v>
      </c>
      <c r="B8" s="7" t="s">
        <v>2489</v>
      </c>
      <c r="C8" s="8">
        <v>1</v>
      </c>
      <c r="D8" s="9">
        <v>24.97</v>
      </c>
      <c r="E8" s="9">
        <v>24.97</v>
      </c>
      <c r="F8" s="10">
        <v>69.5</v>
      </c>
      <c r="G8" s="9">
        <v>69.5</v>
      </c>
      <c r="H8" s="8" t="s">
        <v>3833</v>
      </c>
      <c r="I8" s="7" t="s">
        <v>3203</v>
      </c>
      <c r="J8" s="11" t="s">
        <v>3310</v>
      </c>
      <c r="K8" s="7" t="s">
        <v>3221</v>
      </c>
      <c r="L8" s="7" t="s">
        <v>3224</v>
      </c>
      <c r="M8" s="12" t="str">
        <f>HYPERLINK("http://slimages.macys.com/is/image/MCY/2962546 ")</f>
        <v xml:space="preserve">http://slimages.macys.com/is/image/MCY/2962546 </v>
      </c>
    </row>
    <row r="9" spans="1:13" ht="15.2" customHeight="1" x14ac:dyDescent="0.2">
      <c r="A9" s="6" t="s">
        <v>2490</v>
      </c>
      <c r="B9" s="7" t="s">
        <v>2491</v>
      </c>
      <c r="C9" s="8">
        <v>1</v>
      </c>
      <c r="D9" s="9">
        <v>24.12</v>
      </c>
      <c r="E9" s="9">
        <v>24.12</v>
      </c>
      <c r="F9" s="10">
        <v>39.99</v>
      </c>
      <c r="G9" s="9">
        <v>39.99</v>
      </c>
      <c r="H9" s="8">
        <v>188840015</v>
      </c>
      <c r="I9" s="7" t="s">
        <v>3321</v>
      </c>
      <c r="J9" s="11" t="s">
        <v>3197</v>
      </c>
      <c r="K9" s="7" t="s">
        <v>3183</v>
      </c>
      <c r="L9" s="7" t="s">
        <v>3184</v>
      </c>
      <c r="M9" s="12" t="str">
        <f>HYPERLINK("http://slimages.macys.com/is/image/MCY/2885641 ")</f>
        <v xml:space="preserve">http://slimages.macys.com/is/image/MCY/2885641 </v>
      </c>
    </row>
    <row r="10" spans="1:13" ht="15.2" customHeight="1" x14ac:dyDescent="0.2">
      <c r="A10" s="6" t="s">
        <v>2492</v>
      </c>
      <c r="B10" s="7" t="s">
        <v>2493</v>
      </c>
      <c r="C10" s="8">
        <v>1</v>
      </c>
      <c r="D10" s="9">
        <v>23.09</v>
      </c>
      <c r="E10" s="9">
        <v>23.09</v>
      </c>
      <c r="F10" s="10">
        <v>69.5</v>
      </c>
      <c r="G10" s="9">
        <v>69.5</v>
      </c>
      <c r="H10" s="8" t="s">
        <v>3648</v>
      </c>
      <c r="I10" s="7" t="s">
        <v>3203</v>
      </c>
      <c r="J10" s="11" t="s">
        <v>3186</v>
      </c>
      <c r="K10" s="7" t="s">
        <v>3221</v>
      </c>
      <c r="L10" s="7" t="s">
        <v>3636</v>
      </c>
      <c r="M10" s="12" t="str">
        <f>HYPERLINK("http://slimages.macys.com/is/image/MCY/3736743 ")</f>
        <v xml:space="preserve">http://slimages.macys.com/is/image/MCY/3736743 </v>
      </c>
    </row>
    <row r="11" spans="1:13" ht="15.2" customHeight="1" x14ac:dyDescent="0.2">
      <c r="A11" s="6" t="s">
        <v>2357</v>
      </c>
      <c r="B11" s="7" t="s">
        <v>2358</v>
      </c>
      <c r="C11" s="8">
        <v>1</v>
      </c>
      <c r="D11" s="9">
        <v>23.09</v>
      </c>
      <c r="E11" s="9">
        <v>23.09</v>
      </c>
      <c r="F11" s="10">
        <v>69.5</v>
      </c>
      <c r="G11" s="9">
        <v>69.5</v>
      </c>
      <c r="H11" s="8" t="s">
        <v>3648</v>
      </c>
      <c r="I11" s="7" t="s">
        <v>3203</v>
      </c>
      <c r="J11" s="11" t="s">
        <v>3231</v>
      </c>
      <c r="K11" s="7" t="s">
        <v>3221</v>
      </c>
      <c r="L11" s="7" t="s">
        <v>3636</v>
      </c>
      <c r="M11" s="12" t="str">
        <f>HYPERLINK("http://slimages.macys.com/is/image/MCY/3736743 ")</f>
        <v xml:space="preserve">http://slimages.macys.com/is/image/MCY/3736743 </v>
      </c>
    </row>
    <row r="12" spans="1:13" ht="15.2" customHeight="1" x14ac:dyDescent="0.2">
      <c r="A12" s="6" t="s">
        <v>2494</v>
      </c>
      <c r="B12" s="7" t="s">
        <v>2495</v>
      </c>
      <c r="C12" s="8">
        <v>1</v>
      </c>
      <c r="D12" s="9">
        <v>23</v>
      </c>
      <c r="E12" s="9">
        <v>23</v>
      </c>
      <c r="F12" s="10">
        <v>59.5</v>
      </c>
      <c r="G12" s="9">
        <v>59.5</v>
      </c>
      <c r="H12" s="8" t="s">
        <v>3649</v>
      </c>
      <c r="I12" s="7" t="s">
        <v>3185</v>
      </c>
      <c r="J12" s="11" t="s">
        <v>3220</v>
      </c>
      <c r="K12" s="7" t="s">
        <v>3198</v>
      </c>
      <c r="L12" s="7" t="s">
        <v>3199</v>
      </c>
      <c r="M12" s="12" t="str">
        <f>HYPERLINK("http://slimages.macys.com/is/image/MCY/3895026 ")</f>
        <v xml:space="preserve">http://slimages.macys.com/is/image/MCY/3895026 </v>
      </c>
    </row>
    <row r="13" spans="1:13" ht="15.2" customHeight="1" x14ac:dyDescent="0.2">
      <c r="A13" s="6" t="s">
        <v>2496</v>
      </c>
      <c r="B13" s="7" t="s">
        <v>2497</v>
      </c>
      <c r="C13" s="8">
        <v>1</v>
      </c>
      <c r="D13" s="9">
        <v>22.77</v>
      </c>
      <c r="E13" s="9">
        <v>22.77</v>
      </c>
      <c r="F13" s="10">
        <v>64.5</v>
      </c>
      <c r="G13" s="9">
        <v>64.5</v>
      </c>
      <c r="H13" s="8" t="s">
        <v>2498</v>
      </c>
      <c r="I13" s="7" t="s">
        <v>3185</v>
      </c>
      <c r="J13" s="11" t="s">
        <v>3236</v>
      </c>
      <c r="K13" s="7" t="s">
        <v>3232</v>
      </c>
      <c r="L13" s="7" t="s">
        <v>3233</v>
      </c>
      <c r="M13" s="12" t="str">
        <f>HYPERLINK("http://slimages.macys.com/is/image/MCY/3884440 ")</f>
        <v xml:space="preserve">http://slimages.macys.com/is/image/MCY/3884440 </v>
      </c>
    </row>
    <row r="14" spans="1:13" ht="15.2" customHeight="1" x14ac:dyDescent="0.2">
      <c r="A14" s="6" t="s">
        <v>2499</v>
      </c>
      <c r="B14" s="7" t="s">
        <v>2500</v>
      </c>
      <c r="C14" s="8">
        <v>1</v>
      </c>
      <c r="D14" s="9">
        <v>22.77</v>
      </c>
      <c r="E14" s="9">
        <v>22.77</v>
      </c>
      <c r="F14" s="10">
        <v>64.5</v>
      </c>
      <c r="G14" s="9">
        <v>64.5</v>
      </c>
      <c r="H14" s="8" t="s">
        <v>2498</v>
      </c>
      <c r="I14" s="7" t="s">
        <v>3185</v>
      </c>
      <c r="J14" s="11" t="s">
        <v>3220</v>
      </c>
      <c r="K14" s="7" t="s">
        <v>3232</v>
      </c>
      <c r="L14" s="7" t="s">
        <v>3233</v>
      </c>
      <c r="M14" s="12" t="str">
        <f>HYPERLINK("http://slimages.macys.com/is/image/MCY/3884440 ")</f>
        <v xml:space="preserve">http://slimages.macys.com/is/image/MCY/3884440 </v>
      </c>
    </row>
    <row r="15" spans="1:13" ht="15.2" customHeight="1" x14ac:dyDescent="0.2">
      <c r="A15" s="6" t="s">
        <v>2501</v>
      </c>
      <c r="B15" s="7" t="s">
        <v>2502</v>
      </c>
      <c r="C15" s="8">
        <v>3</v>
      </c>
      <c r="D15" s="9">
        <v>22.77</v>
      </c>
      <c r="E15" s="9">
        <v>68.31</v>
      </c>
      <c r="F15" s="10">
        <v>64.5</v>
      </c>
      <c r="G15" s="9">
        <v>193.5</v>
      </c>
      <c r="H15" s="8" t="s">
        <v>2498</v>
      </c>
      <c r="I15" s="7" t="s">
        <v>3185</v>
      </c>
      <c r="J15" s="11" t="s">
        <v>3186</v>
      </c>
      <c r="K15" s="7" t="s">
        <v>3232</v>
      </c>
      <c r="L15" s="7" t="s">
        <v>3233</v>
      </c>
      <c r="M15" s="12" t="str">
        <f>HYPERLINK("http://slimages.macys.com/is/image/MCY/3884440 ")</f>
        <v xml:space="preserve">http://slimages.macys.com/is/image/MCY/3884440 </v>
      </c>
    </row>
    <row r="16" spans="1:13" ht="15.2" customHeight="1" x14ac:dyDescent="0.2">
      <c r="A16" s="6" t="s">
        <v>2503</v>
      </c>
      <c r="B16" s="7" t="s">
        <v>2504</v>
      </c>
      <c r="C16" s="8">
        <v>2</v>
      </c>
      <c r="D16" s="9">
        <v>22.77</v>
      </c>
      <c r="E16" s="9">
        <v>45.54</v>
      </c>
      <c r="F16" s="10">
        <v>64.5</v>
      </c>
      <c r="G16" s="9">
        <v>129</v>
      </c>
      <c r="H16" s="8" t="s">
        <v>2498</v>
      </c>
      <c r="I16" s="7" t="s">
        <v>3185</v>
      </c>
      <c r="J16" s="11" t="s">
        <v>3202</v>
      </c>
      <c r="K16" s="7" t="s">
        <v>3232</v>
      </c>
      <c r="L16" s="7" t="s">
        <v>3233</v>
      </c>
      <c r="M16" s="12" t="str">
        <f>HYPERLINK("http://slimages.macys.com/is/image/MCY/3884440 ")</f>
        <v xml:space="preserve">http://slimages.macys.com/is/image/MCY/3884440 </v>
      </c>
    </row>
    <row r="17" spans="1:13" ht="15.2" customHeight="1" x14ac:dyDescent="0.2">
      <c r="A17" s="6" t="s">
        <v>2505</v>
      </c>
      <c r="B17" s="7" t="s">
        <v>2506</v>
      </c>
      <c r="C17" s="8">
        <v>1</v>
      </c>
      <c r="D17" s="9">
        <v>22.17</v>
      </c>
      <c r="E17" s="9">
        <v>22.17</v>
      </c>
      <c r="F17" s="10">
        <v>50.99</v>
      </c>
      <c r="G17" s="9">
        <v>50.99</v>
      </c>
      <c r="H17" s="8" t="s">
        <v>2507</v>
      </c>
      <c r="I17" s="7" t="s">
        <v>3191</v>
      </c>
      <c r="J17" s="11" t="s">
        <v>3331</v>
      </c>
      <c r="K17" s="7" t="s">
        <v>3221</v>
      </c>
      <c r="L17" s="7" t="s">
        <v>3224</v>
      </c>
      <c r="M17" s="12" t="str">
        <f>HYPERLINK("http://slimages.macys.com/is/image/MCY/3563935 ")</f>
        <v xml:space="preserve">http://slimages.macys.com/is/image/MCY/3563935 </v>
      </c>
    </row>
    <row r="18" spans="1:13" ht="15.2" customHeight="1" x14ac:dyDescent="0.2">
      <c r="A18" s="6" t="s">
        <v>2508</v>
      </c>
      <c r="B18" s="7" t="s">
        <v>2509</v>
      </c>
      <c r="C18" s="8">
        <v>1</v>
      </c>
      <c r="D18" s="9">
        <v>21.55</v>
      </c>
      <c r="E18" s="9">
        <v>21.55</v>
      </c>
      <c r="F18" s="10">
        <v>52.5</v>
      </c>
      <c r="G18" s="9">
        <v>52.5</v>
      </c>
      <c r="H18" s="8" t="s">
        <v>4056</v>
      </c>
      <c r="I18" s="7" t="s">
        <v>3191</v>
      </c>
      <c r="J18" s="11" t="s">
        <v>3338</v>
      </c>
      <c r="K18" s="7" t="s">
        <v>3221</v>
      </c>
      <c r="L18" s="7" t="s">
        <v>3224</v>
      </c>
      <c r="M18" s="12" t="str">
        <f>HYPERLINK("http://slimages.macys.com/is/image/MCY/3626088 ")</f>
        <v xml:space="preserve">http://slimages.macys.com/is/image/MCY/3626088 </v>
      </c>
    </row>
    <row r="19" spans="1:13" ht="15.2" customHeight="1" x14ac:dyDescent="0.2">
      <c r="A19" s="6" t="s">
        <v>2510</v>
      </c>
      <c r="B19" s="7" t="s">
        <v>2511</v>
      </c>
      <c r="C19" s="8">
        <v>1</v>
      </c>
      <c r="D19" s="9">
        <v>21.14</v>
      </c>
      <c r="E19" s="9">
        <v>21.14</v>
      </c>
      <c r="F19" s="10">
        <v>59.5</v>
      </c>
      <c r="G19" s="9">
        <v>59.5</v>
      </c>
      <c r="H19" s="8" t="s">
        <v>2512</v>
      </c>
      <c r="I19" s="7" t="s">
        <v>3203</v>
      </c>
      <c r="J19" s="11" t="s">
        <v>3211</v>
      </c>
      <c r="K19" s="7" t="s">
        <v>3193</v>
      </c>
      <c r="L19" s="7" t="s">
        <v>3194</v>
      </c>
      <c r="M19" s="12" t="str">
        <f>HYPERLINK("http://slimages.macys.com/is/image/MCY/3931208 ")</f>
        <v xml:space="preserve">http://slimages.macys.com/is/image/MCY/3931208 </v>
      </c>
    </row>
    <row r="20" spans="1:13" ht="15.2" customHeight="1" x14ac:dyDescent="0.2">
      <c r="A20" s="6" t="s">
        <v>3840</v>
      </c>
      <c r="B20" s="7" t="s">
        <v>3841</v>
      </c>
      <c r="C20" s="8">
        <v>1</v>
      </c>
      <c r="D20" s="9">
        <v>20.74</v>
      </c>
      <c r="E20" s="9">
        <v>20.74</v>
      </c>
      <c r="F20" s="10">
        <v>47.75</v>
      </c>
      <c r="G20" s="9">
        <v>47.75</v>
      </c>
      <c r="H20" s="8" t="s">
        <v>3650</v>
      </c>
      <c r="I20" s="7" t="s">
        <v>3191</v>
      </c>
      <c r="J20" s="11" t="s">
        <v>3271</v>
      </c>
      <c r="K20" s="7" t="s">
        <v>3221</v>
      </c>
      <c r="L20" s="7" t="s">
        <v>3224</v>
      </c>
      <c r="M20" s="12" t="str">
        <f>HYPERLINK("http://slimages.macys.com/is/image/MCY/3678323 ")</f>
        <v xml:space="preserve">http://slimages.macys.com/is/image/MCY/3678323 </v>
      </c>
    </row>
    <row r="21" spans="1:13" ht="15.2" customHeight="1" x14ac:dyDescent="0.2">
      <c r="A21" s="6" t="s">
        <v>2201</v>
      </c>
      <c r="B21" s="7" t="s">
        <v>2202</v>
      </c>
      <c r="C21" s="8">
        <v>1</v>
      </c>
      <c r="D21" s="9">
        <v>20.74</v>
      </c>
      <c r="E21" s="9">
        <v>20.74</v>
      </c>
      <c r="F21" s="10">
        <v>47.75</v>
      </c>
      <c r="G21" s="9">
        <v>47.75</v>
      </c>
      <c r="H21" s="8" t="s">
        <v>3650</v>
      </c>
      <c r="I21" s="7" t="s">
        <v>3191</v>
      </c>
      <c r="J21" s="11" t="s">
        <v>3336</v>
      </c>
      <c r="K21" s="7" t="s">
        <v>3221</v>
      </c>
      <c r="L21" s="7" t="s">
        <v>3224</v>
      </c>
      <c r="M21" s="12" t="str">
        <f>HYPERLINK("http://slimages.macys.com/is/image/MCY/3678323 ")</f>
        <v xml:space="preserve">http://slimages.macys.com/is/image/MCY/3678323 </v>
      </c>
    </row>
    <row r="22" spans="1:13" ht="15.2" customHeight="1" x14ac:dyDescent="0.2">
      <c r="A22" s="6" t="s">
        <v>2513</v>
      </c>
      <c r="B22" s="7" t="s">
        <v>2514</v>
      </c>
      <c r="C22" s="8">
        <v>1</v>
      </c>
      <c r="D22" s="9">
        <v>20.079999999999998</v>
      </c>
      <c r="E22" s="9">
        <v>20.079999999999998</v>
      </c>
      <c r="F22" s="10">
        <v>46.25</v>
      </c>
      <c r="G22" s="9">
        <v>46.25</v>
      </c>
      <c r="H22" s="8" t="s">
        <v>2204</v>
      </c>
      <c r="I22" s="7" t="s">
        <v>3191</v>
      </c>
      <c r="J22" s="11" t="s">
        <v>3340</v>
      </c>
      <c r="K22" s="7" t="s">
        <v>3221</v>
      </c>
      <c r="L22" s="7" t="s">
        <v>3224</v>
      </c>
      <c r="M22" s="12" t="str">
        <f>HYPERLINK("http://slimages.macys.com/is/image/MCY/3724372 ")</f>
        <v xml:space="preserve">http://slimages.macys.com/is/image/MCY/3724372 </v>
      </c>
    </row>
    <row r="23" spans="1:13" ht="15.2" customHeight="1" x14ac:dyDescent="0.2">
      <c r="A23" s="6" t="s">
        <v>2515</v>
      </c>
      <c r="B23" s="7" t="s">
        <v>2516</v>
      </c>
      <c r="C23" s="8">
        <v>1</v>
      </c>
      <c r="D23" s="9">
        <v>20.079999999999998</v>
      </c>
      <c r="E23" s="9">
        <v>20.079999999999998</v>
      </c>
      <c r="F23" s="10">
        <v>46.25</v>
      </c>
      <c r="G23" s="9">
        <v>46.25</v>
      </c>
      <c r="H23" s="8" t="s">
        <v>2204</v>
      </c>
      <c r="I23" s="7" t="s">
        <v>3191</v>
      </c>
      <c r="J23" s="11" t="s">
        <v>3204</v>
      </c>
      <c r="K23" s="7" t="s">
        <v>3221</v>
      </c>
      <c r="L23" s="7" t="s">
        <v>3224</v>
      </c>
      <c r="M23" s="12" t="str">
        <f>HYPERLINK("http://slimages.macys.com/is/image/MCY/3724372 ")</f>
        <v xml:space="preserve">http://slimages.macys.com/is/image/MCY/3724372 </v>
      </c>
    </row>
    <row r="24" spans="1:13" ht="15.2" customHeight="1" x14ac:dyDescent="0.2">
      <c r="A24" s="6" t="s">
        <v>2517</v>
      </c>
      <c r="B24" s="7" t="s">
        <v>2518</v>
      </c>
      <c r="C24" s="8">
        <v>1</v>
      </c>
      <c r="D24" s="9">
        <v>20.079999999999998</v>
      </c>
      <c r="E24" s="9">
        <v>20.079999999999998</v>
      </c>
      <c r="F24" s="10">
        <v>46.25</v>
      </c>
      <c r="G24" s="9">
        <v>46.25</v>
      </c>
      <c r="H24" s="8" t="s">
        <v>2204</v>
      </c>
      <c r="I24" s="7" t="s">
        <v>3191</v>
      </c>
      <c r="J24" s="11" t="s">
        <v>3331</v>
      </c>
      <c r="K24" s="7" t="s">
        <v>3221</v>
      </c>
      <c r="L24" s="7" t="s">
        <v>3224</v>
      </c>
      <c r="M24" s="12" t="str">
        <f>HYPERLINK("http://slimages.macys.com/is/image/MCY/3724372 ")</f>
        <v xml:space="preserve">http://slimages.macys.com/is/image/MCY/3724372 </v>
      </c>
    </row>
    <row r="25" spans="1:13" ht="15.2" customHeight="1" x14ac:dyDescent="0.2">
      <c r="A25" s="6" t="s">
        <v>2519</v>
      </c>
      <c r="B25" s="7" t="s">
        <v>2520</v>
      </c>
      <c r="C25" s="8">
        <v>1</v>
      </c>
      <c r="D25" s="9">
        <v>20</v>
      </c>
      <c r="E25" s="9">
        <v>20</v>
      </c>
      <c r="F25" s="10">
        <v>64</v>
      </c>
      <c r="G25" s="9">
        <v>64</v>
      </c>
      <c r="H25" s="8" t="s">
        <v>3654</v>
      </c>
      <c r="I25" s="7" t="s">
        <v>3185</v>
      </c>
      <c r="J25" s="11" t="s">
        <v>3186</v>
      </c>
      <c r="K25" s="7" t="s">
        <v>3205</v>
      </c>
      <c r="L25" s="7" t="s">
        <v>3632</v>
      </c>
      <c r="M25" s="12" t="str">
        <f>HYPERLINK("http://slimages.macys.com/is/image/MCY/3878688 ")</f>
        <v xml:space="preserve">http://slimages.macys.com/is/image/MCY/3878688 </v>
      </c>
    </row>
    <row r="26" spans="1:13" ht="15.2" customHeight="1" x14ac:dyDescent="0.2">
      <c r="A26" s="6" t="s">
        <v>3843</v>
      </c>
      <c r="B26" s="7" t="s">
        <v>3844</v>
      </c>
      <c r="C26" s="8">
        <v>1</v>
      </c>
      <c r="D26" s="9">
        <v>19.760000000000002</v>
      </c>
      <c r="E26" s="9">
        <v>19.760000000000002</v>
      </c>
      <c r="F26" s="10">
        <v>49.99</v>
      </c>
      <c r="G26" s="9">
        <v>49.99</v>
      </c>
      <c r="H26" s="8" t="s">
        <v>3845</v>
      </c>
      <c r="I26" s="7" t="s">
        <v>3185</v>
      </c>
      <c r="J26" s="11" t="s">
        <v>3186</v>
      </c>
      <c r="K26" s="7" t="s">
        <v>3221</v>
      </c>
      <c r="L26" s="7" t="s">
        <v>3224</v>
      </c>
      <c r="M26" s="12" t="str">
        <f>HYPERLINK("http://slimages.macys.com/is/image/MCY/3672029 ")</f>
        <v xml:space="preserve">http://slimages.macys.com/is/image/MCY/3672029 </v>
      </c>
    </row>
    <row r="27" spans="1:13" ht="15.2" customHeight="1" x14ac:dyDescent="0.2">
      <c r="A27" s="6" t="s">
        <v>2521</v>
      </c>
      <c r="B27" s="7" t="s">
        <v>2522</v>
      </c>
      <c r="C27" s="8">
        <v>1</v>
      </c>
      <c r="D27" s="9">
        <v>19.5</v>
      </c>
      <c r="E27" s="9">
        <v>19.5</v>
      </c>
      <c r="F27" s="10">
        <v>59</v>
      </c>
      <c r="G27" s="9">
        <v>59</v>
      </c>
      <c r="H27" s="8" t="s">
        <v>2523</v>
      </c>
      <c r="I27" s="7" t="s">
        <v>3185</v>
      </c>
      <c r="J27" s="11" t="s">
        <v>3204</v>
      </c>
      <c r="K27" s="7" t="s">
        <v>3205</v>
      </c>
      <c r="L27" s="7" t="s">
        <v>3632</v>
      </c>
      <c r="M27" s="12" t="str">
        <f>HYPERLINK("http://slimages.macys.com/is/image/MCY/3459665 ")</f>
        <v xml:space="preserve">http://slimages.macys.com/is/image/MCY/3459665 </v>
      </c>
    </row>
    <row r="28" spans="1:13" ht="15.2" customHeight="1" x14ac:dyDescent="0.2">
      <c r="A28" s="6" t="s">
        <v>2524</v>
      </c>
      <c r="B28" s="7" t="s">
        <v>2525</v>
      </c>
      <c r="C28" s="8">
        <v>1</v>
      </c>
      <c r="D28" s="9">
        <v>18.989999999999998</v>
      </c>
      <c r="E28" s="9">
        <v>18.989999999999998</v>
      </c>
      <c r="F28" s="10">
        <v>43.5</v>
      </c>
      <c r="G28" s="9">
        <v>43.5</v>
      </c>
      <c r="H28" s="8" t="s">
        <v>3848</v>
      </c>
      <c r="I28" s="7" t="s">
        <v>3203</v>
      </c>
      <c r="J28" s="11" t="s">
        <v>3240</v>
      </c>
      <c r="K28" s="7" t="s">
        <v>3221</v>
      </c>
      <c r="L28" s="7" t="s">
        <v>3224</v>
      </c>
      <c r="M28" s="12" t="str">
        <f t="shared" ref="M28:M34" si="0">HYPERLINK("http://slimages.macys.com/is/image/MCY/3721274 ")</f>
        <v xml:space="preserve">http://slimages.macys.com/is/image/MCY/3721274 </v>
      </c>
    </row>
    <row r="29" spans="1:13" ht="15.2" customHeight="1" x14ac:dyDescent="0.2">
      <c r="A29" s="6" t="s">
        <v>4060</v>
      </c>
      <c r="B29" s="7" t="s">
        <v>4061</v>
      </c>
      <c r="C29" s="8">
        <v>2</v>
      </c>
      <c r="D29" s="9">
        <v>18.989999999999998</v>
      </c>
      <c r="E29" s="9">
        <v>37.979999999999997</v>
      </c>
      <c r="F29" s="10">
        <v>43.5</v>
      </c>
      <c r="G29" s="9">
        <v>87</v>
      </c>
      <c r="H29" s="8" t="s">
        <v>3848</v>
      </c>
      <c r="I29" s="7" t="s">
        <v>3257</v>
      </c>
      <c r="J29" s="11" t="s">
        <v>3351</v>
      </c>
      <c r="K29" s="7" t="s">
        <v>3221</v>
      </c>
      <c r="L29" s="7" t="s">
        <v>3224</v>
      </c>
      <c r="M29" s="12" t="str">
        <f t="shared" si="0"/>
        <v xml:space="preserve">http://slimages.macys.com/is/image/MCY/3721274 </v>
      </c>
    </row>
    <row r="30" spans="1:13" ht="15.2" customHeight="1" x14ac:dyDescent="0.2">
      <c r="A30" s="6" t="s">
        <v>2526</v>
      </c>
      <c r="B30" s="7" t="s">
        <v>2527</v>
      </c>
      <c r="C30" s="8">
        <v>1</v>
      </c>
      <c r="D30" s="9">
        <v>18.989999999999998</v>
      </c>
      <c r="E30" s="9">
        <v>18.989999999999998</v>
      </c>
      <c r="F30" s="10">
        <v>43.5</v>
      </c>
      <c r="G30" s="9">
        <v>43.5</v>
      </c>
      <c r="H30" s="8" t="s">
        <v>3848</v>
      </c>
      <c r="I30" s="7" t="s">
        <v>3263</v>
      </c>
      <c r="J30" s="11" t="s">
        <v>3351</v>
      </c>
      <c r="K30" s="7" t="s">
        <v>3221</v>
      </c>
      <c r="L30" s="7" t="s">
        <v>3224</v>
      </c>
      <c r="M30" s="12" t="str">
        <f t="shared" si="0"/>
        <v xml:space="preserve">http://slimages.macys.com/is/image/MCY/3721274 </v>
      </c>
    </row>
    <row r="31" spans="1:13" ht="15.2" customHeight="1" x14ac:dyDescent="0.2">
      <c r="A31" s="6" t="s">
        <v>2528</v>
      </c>
      <c r="B31" s="7" t="s">
        <v>2529</v>
      </c>
      <c r="C31" s="8">
        <v>1</v>
      </c>
      <c r="D31" s="9">
        <v>18.989999999999998</v>
      </c>
      <c r="E31" s="9">
        <v>18.989999999999998</v>
      </c>
      <c r="F31" s="10">
        <v>43.5</v>
      </c>
      <c r="G31" s="9">
        <v>43.5</v>
      </c>
      <c r="H31" s="8" t="s">
        <v>3848</v>
      </c>
      <c r="I31" s="7" t="s">
        <v>3263</v>
      </c>
      <c r="J31" s="11" t="s">
        <v>3340</v>
      </c>
      <c r="K31" s="7" t="s">
        <v>3221</v>
      </c>
      <c r="L31" s="7" t="s">
        <v>3224</v>
      </c>
      <c r="M31" s="12" t="str">
        <f t="shared" si="0"/>
        <v xml:space="preserve">http://slimages.macys.com/is/image/MCY/3721274 </v>
      </c>
    </row>
    <row r="32" spans="1:13" ht="15.2" customHeight="1" x14ac:dyDescent="0.2">
      <c r="A32" s="6" t="s">
        <v>2530</v>
      </c>
      <c r="B32" s="7" t="s">
        <v>2531</v>
      </c>
      <c r="C32" s="8">
        <v>1</v>
      </c>
      <c r="D32" s="9">
        <v>18.989999999999998</v>
      </c>
      <c r="E32" s="9">
        <v>18.989999999999998</v>
      </c>
      <c r="F32" s="10">
        <v>43.5</v>
      </c>
      <c r="G32" s="9">
        <v>43.5</v>
      </c>
      <c r="H32" s="8" t="s">
        <v>3848</v>
      </c>
      <c r="I32" s="7" t="s">
        <v>3257</v>
      </c>
      <c r="J32" s="11" t="s">
        <v>3204</v>
      </c>
      <c r="K32" s="7" t="s">
        <v>3221</v>
      </c>
      <c r="L32" s="7" t="s">
        <v>3224</v>
      </c>
      <c r="M32" s="12" t="str">
        <f t="shared" si="0"/>
        <v xml:space="preserve">http://slimages.macys.com/is/image/MCY/3721274 </v>
      </c>
    </row>
    <row r="33" spans="1:13" ht="15.2" customHeight="1" x14ac:dyDescent="0.2">
      <c r="A33" s="6" t="s">
        <v>2532</v>
      </c>
      <c r="B33" s="7" t="s">
        <v>2533</v>
      </c>
      <c r="C33" s="8">
        <v>1</v>
      </c>
      <c r="D33" s="9">
        <v>18.989999999999998</v>
      </c>
      <c r="E33" s="9">
        <v>18.989999999999998</v>
      </c>
      <c r="F33" s="10">
        <v>43.5</v>
      </c>
      <c r="G33" s="9">
        <v>43.5</v>
      </c>
      <c r="H33" s="8" t="s">
        <v>3848</v>
      </c>
      <c r="I33" s="7" t="s">
        <v>3257</v>
      </c>
      <c r="J33" s="11" t="s">
        <v>3340</v>
      </c>
      <c r="K33" s="7" t="s">
        <v>3221</v>
      </c>
      <c r="L33" s="7" t="s">
        <v>3224</v>
      </c>
      <c r="M33" s="12" t="str">
        <f t="shared" si="0"/>
        <v xml:space="preserve">http://slimages.macys.com/is/image/MCY/3721274 </v>
      </c>
    </row>
    <row r="34" spans="1:13" ht="15.2" customHeight="1" x14ac:dyDescent="0.2">
      <c r="A34" s="6" t="s">
        <v>2534</v>
      </c>
      <c r="B34" s="7" t="s">
        <v>2535</v>
      </c>
      <c r="C34" s="8">
        <v>1</v>
      </c>
      <c r="D34" s="9">
        <v>18.989999999999998</v>
      </c>
      <c r="E34" s="9">
        <v>18.989999999999998</v>
      </c>
      <c r="F34" s="10">
        <v>43.5</v>
      </c>
      <c r="G34" s="9">
        <v>43.5</v>
      </c>
      <c r="H34" s="8" t="s">
        <v>3848</v>
      </c>
      <c r="I34" s="7" t="s">
        <v>3257</v>
      </c>
      <c r="J34" s="11" t="s">
        <v>3240</v>
      </c>
      <c r="K34" s="7" t="s">
        <v>3221</v>
      </c>
      <c r="L34" s="7" t="s">
        <v>3224</v>
      </c>
      <c r="M34" s="12" t="str">
        <f t="shared" si="0"/>
        <v xml:space="preserve">http://slimages.macys.com/is/image/MCY/3721274 </v>
      </c>
    </row>
    <row r="35" spans="1:13" ht="15.2" customHeight="1" x14ac:dyDescent="0.2">
      <c r="A35" s="6" t="s">
        <v>2536</v>
      </c>
      <c r="B35" s="7" t="s">
        <v>2537</v>
      </c>
      <c r="C35" s="8">
        <v>1</v>
      </c>
      <c r="D35" s="9">
        <v>18.75</v>
      </c>
      <c r="E35" s="9">
        <v>18.75</v>
      </c>
      <c r="F35" s="10">
        <v>59</v>
      </c>
      <c r="G35" s="9">
        <v>59</v>
      </c>
      <c r="H35" s="8" t="s">
        <v>3245</v>
      </c>
      <c r="I35" s="7" t="s">
        <v>3246</v>
      </c>
      <c r="J35" s="11"/>
      <c r="K35" s="7" t="s">
        <v>3217</v>
      </c>
      <c r="L35" s="7" t="s">
        <v>3218</v>
      </c>
      <c r="M35" s="12" t="str">
        <f>HYPERLINK("http://slimages.macys.com/is/image/MCY/3937226 ")</f>
        <v xml:space="preserve">http://slimages.macys.com/is/image/MCY/3937226 </v>
      </c>
    </row>
    <row r="36" spans="1:13" ht="15.2" customHeight="1" x14ac:dyDescent="0.2">
      <c r="A36" s="6" t="s">
        <v>2538</v>
      </c>
      <c r="B36" s="7" t="s">
        <v>2539</v>
      </c>
      <c r="C36" s="8">
        <v>1</v>
      </c>
      <c r="D36" s="9">
        <v>18.75</v>
      </c>
      <c r="E36" s="9">
        <v>18.75</v>
      </c>
      <c r="F36" s="10">
        <v>49</v>
      </c>
      <c r="G36" s="9">
        <v>49</v>
      </c>
      <c r="H36" s="8" t="s">
        <v>2540</v>
      </c>
      <c r="I36" s="7" t="s">
        <v>3216</v>
      </c>
      <c r="J36" s="11" t="s">
        <v>3186</v>
      </c>
      <c r="K36" s="7" t="s">
        <v>3217</v>
      </c>
      <c r="L36" s="7" t="s">
        <v>3218</v>
      </c>
      <c r="M36" s="12" t="str">
        <f>HYPERLINK("http://slimages.macys.com/is/image/MCY/3667668 ")</f>
        <v xml:space="preserve">http://slimages.macys.com/is/image/MCY/3667668 </v>
      </c>
    </row>
    <row r="37" spans="1:13" ht="15.2" customHeight="1" x14ac:dyDescent="0.2">
      <c r="A37" s="6" t="s">
        <v>2541</v>
      </c>
      <c r="B37" s="7" t="s">
        <v>2542</v>
      </c>
      <c r="C37" s="8">
        <v>1</v>
      </c>
      <c r="D37" s="9">
        <v>18.75</v>
      </c>
      <c r="E37" s="9">
        <v>18.75</v>
      </c>
      <c r="F37" s="10">
        <v>59</v>
      </c>
      <c r="G37" s="9">
        <v>59</v>
      </c>
      <c r="H37" s="8" t="s">
        <v>3245</v>
      </c>
      <c r="I37" s="7" t="s">
        <v>3246</v>
      </c>
      <c r="J37" s="11"/>
      <c r="K37" s="7" t="s">
        <v>3217</v>
      </c>
      <c r="L37" s="7" t="s">
        <v>3218</v>
      </c>
      <c r="M37" s="12" t="str">
        <f>HYPERLINK("http://slimages.macys.com/is/image/MCY/3937226 ")</f>
        <v xml:space="preserve">http://slimages.macys.com/is/image/MCY/3937226 </v>
      </c>
    </row>
    <row r="38" spans="1:13" ht="15.2" customHeight="1" x14ac:dyDescent="0.2">
      <c r="A38" s="6" t="s">
        <v>2543</v>
      </c>
      <c r="B38" s="7" t="s">
        <v>2544</v>
      </c>
      <c r="C38" s="8">
        <v>1</v>
      </c>
      <c r="D38" s="9">
        <v>18.75</v>
      </c>
      <c r="E38" s="9">
        <v>18.75</v>
      </c>
      <c r="F38" s="10">
        <v>59</v>
      </c>
      <c r="G38" s="9">
        <v>59</v>
      </c>
      <c r="H38" s="8" t="s">
        <v>2545</v>
      </c>
      <c r="I38" s="7" t="s">
        <v>3364</v>
      </c>
      <c r="J38" s="11"/>
      <c r="K38" s="7" t="s">
        <v>3217</v>
      </c>
      <c r="L38" s="7" t="s">
        <v>3218</v>
      </c>
      <c r="M38" s="12" t="str">
        <f>HYPERLINK("http://slimages.macys.com/is/image/MCY/3675892 ")</f>
        <v xml:space="preserve">http://slimages.macys.com/is/image/MCY/3675892 </v>
      </c>
    </row>
    <row r="39" spans="1:13" ht="15.2" customHeight="1" x14ac:dyDescent="0.2">
      <c r="A39" s="6" t="s">
        <v>3243</v>
      </c>
      <c r="B39" s="7" t="s">
        <v>3244</v>
      </c>
      <c r="C39" s="8">
        <v>1</v>
      </c>
      <c r="D39" s="9">
        <v>18.75</v>
      </c>
      <c r="E39" s="9">
        <v>18.75</v>
      </c>
      <c r="F39" s="10">
        <v>59</v>
      </c>
      <c r="G39" s="9">
        <v>59</v>
      </c>
      <c r="H39" s="8" t="s">
        <v>3245</v>
      </c>
      <c r="I39" s="7" t="s">
        <v>3246</v>
      </c>
      <c r="J39" s="11"/>
      <c r="K39" s="7" t="s">
        <v>3217</v>
      </c>
      <c r="L39" s="7" t="s">
        <v>3218</v>
      </c>
      <c r="M39" s="12" t="str">
        <f>HYPERLINK("http://slimages.macys.com/is/image/MCY/3937226 ")</f>
        <v xml:space="preserve">http://slimages.macys.com/is/image/MCY/3937226 </v>
      </c>
    </row>
    <row r="40" spans="1:13" ht="15.2" customHeight="1" x14ac:dyDescent="0.2">
      <c r="A40" s="6" t="s">
        <v>2546</v>
      </c>
      <c r="B40" s="7" t="s">
        <v>2547</v>
      </c>
      <c r="C40" s="8">
        <v>1</v>
      </c>
      <c r="D40" s="9">
        <v>18.75</v>
      </c>
      <c r="E40" s="9">
        <v>18.75</v>
      </c>
      <c r="F40" s="10">
        <v>59</v>
      </c>
      <c r="G40" s="9">
        <v>59</v>
      </c>
      <c r="H40" s="8" t="s">
        <v>4225</v>
      </c>
      <c r="I40" s="7" t="s">
        <v>3257</v>
      </c>
      <c r="J40" s="11"/>
      <c r="K40" s="7" t="s">
        <v>3217</v>
      </c>
      <c r="L40" s="7" t="s">
        <v>3218</v>
      </c>
      <c r="M40" s="12" t="str">
        <f>HYPERLINK("http://slimages.macys.com/is/image/MCY/3678585 ")</f>
        <v xml:space="preserve">http://slimages.macys.com/is/image/MCY/3678585 </v>
      </c>
    </row>
    <row r="41" spans="1:13" ht="15.2" customHeight="1" x14ac:dyDescent="0.2">
      <c r="A41" s="6" t="s">
        <v>2548</v>
      </c>
      <c r="B41" s="7" t="s">
        <v>2549</v>
      </c>
      <c r="C41" s="8">
        <v>1</v>
      </c>
      <c r="D41" s="9">
        <v>18.739999999999998</v>
      </c>
      <c r="E41" s="9">
        <v>18.739999999999998</v>
      </c>
      <c r="F41" s="10">
        <v>43.5</v>
      </c>
      <c r="G41" s="9">
        <v>43.5</v>
      </c>
      <c r="H41" s="8" t="s">
        <v>3850</v>
      </c>
      <c r="I41" s="7" t="s">
        <v>3185</v>
      </c>
      <c r="J41" s="11" t="s">
        <v>3347</v>
      </c>
      <c r="K41" s="7" t="s">
        <v>3221</v>
      </c>
      <c r="L41" s="7" t="s">
        <v>3224</v>
      </c>
      <c r="M41" s="12" t="str">
        <f>HYPERLINK("http://slimages.macys.com/is/image/MCY/3678345 ")</f>
        <v xml:space="preserve">http://slimages.macys.com/is/image/MCY/3678345 </v>
      </c>
    </row>
    <row r="42" spans="1:13" ht="15.2" customHeight="1" x14ac:dyDescent="0.2">
      <c r="A42" s="6" t="s">
        <v>2550</v>
      </c>
      <c r="B42" s="7" t="s">
        <v>2551</v>
      </c>
      <c r="C42" s="8">
        <v>1</v>
      </c>
      <c r="D42" s="9">
        <v>18.5</v>
      </c>
      <c r="E42" s="9">
        <v>18.5</v>
      </c>
      <c r="F42" s="10">
        <v>39.979999999999997</v>
      </c>
      <c r="G42" s="9">
        <v>39.979999999999997</v>
      </c>
      <c r="H42" s="8" t="s">
        <v>2363</v>
      </c>
      <c r="I42" s="7" t="s">
        <v>3394</v>
      </c>
      <c r="J42" s="11"/>
      <c r="K42" s="7" t="s">
        <v>3217</v>
      </c>
      <c r="L42" s="7" t="s">
        <v>3218</v>
      </c>
      <c r="M42" s="12" t="str">
        <f>HYPERLINK("http://slimages.macys.com/is/image/MCY/3676185 ")</f>
        <v xml:space="preserve">http://slimages.macys.com/is/image/MCY/3676185 </v>
      </c>
    </row>
    <row r="43" spans="1:13" ht="15.2" customHeight="1" x14ac:dyDescent="0.2">
      <c r="A43" s="6" t="s">
        <v>3853</v>
      </c>
      <c r="B43" s="7" t="s">
        <v>3854</v>
      </c>
      <c r="C43" s="8">
        <v>1</v>
      </c>
      <c r="D43" s="9">
        <v>18.23</v>
      </c>
      <c r="E43" s="9">
        <v>18.23</v>
      </c>
      <c r="F43" s="10">
        <v>49.99</v>
      </c>
      <c r="G43" s="9">
        <v>49.99</v>
      </c>
      <c r="H43" s="8" t="s">
        <v>3249</v>
      </c>
      <c r="I43" s="7" t="s">
        <v>3201</v>
      </c>
      <c r="J43" s="11" t="s">
        <v>3186</v>
      </c>
      <c r="K43" s="7" t="s">
        <v>3221</v>
      </c>
      <c r="L43" s="7" t="s">
        <v>3250</v>
      </c>
      <c r="M43" s="12" t="str">
        <f>HYPERLINK("http://slimages.macys.com/is/image/MCY/3954963 ")</f>
        <v xml:space="preserve">http://slimages.macys.com/is/image/MCY/3954963 </v>
      </c>
    </row>
    <row r="44" spans="1:13" ht="15.2" customHeight="1" x14ac:dyDescent="0.2">
      <c r="A44" s="6" t="s">
        <v>2552</v>
      </c>
      <c r="B44" s="7" t="s">
        <v>2553</v>
      </c>
      <c r="C44" s="8">
        <v>1</v>
      </c>
      <c r="D44" s="9">
        <v>18.23</v>
      </c>
      <c r="E44" s="9">
        <v>18.23</v>
      </c>
      <c r="F44" s="10">
        <v>49.99</v>
      </c>
      <c r="G44" s="9">
        <v>49.99</v>
      </c>
      <c r="H44" s="8" t="s">
        <v>3855</v>
      </c>
      <c r="I44" s="7" t="s">
        <v>3182</v>
      </c>
      <c r="J44" s="11" t="s">
        <v>3186</v>
      </c>
      <c r="K44" s="7" t="s">
        <v>3221</v>
      </c>
      <c r="L44" s="7" t="s">
        <v>3253</v>
      </c>
      <c r="M44" s="12" t="str">
        <f>HYPERLINK("http://slimages.macys.com/is/image/MCY/3954961 ")</f>
        <v xml:space="preserve">http://slimages.macys.com/is/image/MCY/3954961 </v>
      </c>
    </row>
    <row r="45" spans="1:13" ht="15.2" customHeight="1" x14ac:dyDescent="0.2">
      <c r="A45" s="6" t="s">
        <v>3258</v>
      </c>
      <c r="B45" s="7" t="s">
        <v>3259</v>
      </c>
      <c r="C45" s="8">
        <v>1</v>
      </c>
      <c r="D45" s="9">
        <v>18.059999999999999</v>
      </c>
      <c r="E45" s="9">
        <v>18.059999999999999</v>
      </c>
      <c r="F45" s="10">
        <v>49.5</v>
      </c>
      <c r="G45" s="9">
        <v>49.5</v>
      </c>
      <c r="H45" s="8" t="s">
        <v>3256</v>
      </c>
      <c r="I45" s="7" t="s">
        <v>3257</v>
      </c>
      <c r="J45" s="11" t="s">
        <v>3186</v>
      </c>
      <c r="K45" s="7" t="s">
        <v>3221</v>
      </c>
      <c r="L45" s="7" t="s">
        <v>3224</v>
      </c>
      <c r="M45" s="12" t="str">
        <f>HYPERLINK("http://slimages.macys.com/is/image/MCY/3954975 ")</f>
        <v xml:space="preserve">http://slimages.macys.com/is/image/MCY/3954975 </v>
      </c>
    </row>
    <row r="46" spans="1:13" ht="15.2" customHeight="1" x14ac:dyDescent="0.2">
      <c r="A46" s="6" t="s">
        <v>4064</v>
      </c>
      <c r="B46" s="7" t="s">
        <v>4065</v>
      </c>
      <c r="C46" s="8">
        <v>1</v>
      </c>
      <c r="D46" s="9">
        <v>18.059999999999999</v>
      </c>
      <c r="E46" s="9">
        <v>18.059999999999999</v>
      </c>
      <c r="F46" s="10">
        <v>49.5</v>
      </c>
      <c r="G46" s="9">
        <v>49.5</v>
      </c>
      <c r="H46" s="8" t="s">
        <v>3256</v>
      </c>
      <c r="I46" s="7" t="s">
        <v>3257</v>
      </c>
      <c r="J46" s="11" t="s">
        <v>3202</v>
      </c>
      <c r="K46" s="7" t="s">
        <v>3221</v>
      </c>
      <c r="L46" s="7" t="s">
        <v>3224</v>
      </c>
      <c r="M46" s="12" t="str">
        <f>HYPERLINK("http://slimages.macys.com/is/image/MCY/3954975 ")</f>
        <v xml:space="preserve">http://slimages.macys.com/is/image/MCY/3954975 </v>
      </c>
    </row>
    <row r="47" spans="1:13" ht="15.2" customHeight="1" x14ac:dyDescent="0.2">
      <c r="A47" s="6" t="s">
        <v>2554</v>
      </c>
      <c r="B47" s="7" t="s">
        <v>2555</v>
      </c>
      <c r="C47" s="8">
        <v>1</v>
      </c>
      <c r="D47" s="9">
        <v>17.850000000000001</v>
      </c>
      <c r="E47" s="9">
        <v>17.850000000000001</v>
      </c>
      <c r="F47" s="10">
        <v>59.5</v>
      </c>
      <c r="G47" s="9">
        <v>59.5</v>
      </c>
      <c r="H47" s="8">
        <v>49022900</v>
      </c>
      <c r="I47" s="7" t="s">
        <v>3355</v>
      </c>
      <c r="J47" s="11" t="s">
        <v>3202</v>
      </c>
      <c r="K47" s="7" t="s">
        <v>3187</v>
      </c>
      <c r="L47" s="7" t="s">
        <v>3188</v>
      </c>
      <c r="M47" s="12" t="str">
        <f>HYPERLINK("http://slimages.macys.com/is/image/MCY/3939787 ")</f>
        <v xml:space="preserve">http://slimages.macys.com/is/image/MCY/3939787 </v>
      </c>
    </row>
    <row r="48" spans="1:13" ht="15.2" customHeight="1" x14ac:dyDescent="0.2">
      <c r="A48" s="6" t="s">
        <v>2556</v>
      </c>
      <c r="B48" s="7" t="s">
        <v>2557</v>
      </c>
      <c r="C48" s="8">
        <v>1</v>
      </c>
      <c r="D48" s="9">
        <v>17.670000000000002</v>
      </c>
      <c r="E48" s="9">
        <v>17.670000000000002</v>
      </c>
      <c r="F48" s="10">
        <v>49.5</v>
      </c>
      <c r="G48" s="9">
        <v>49.5</v>
      </c>
      <c r="H48" s="8" t="s">
        <v>2216</v>
      </c>
      <c r="I48" s="7" t="s">
        <v>3246</v>
      </c>
      <c r="J48" s="11" t="s">
        <v>3220</v>
      </c>
      <c r="K48" s="7" t="s">
        <v>3232</v>
      </c>
      <c r="L48" s="7" t="s">
        <v>3233</v>
      </c>
      <c r="M48" s="12" t="str">
        <f>HYPERLINK("http://slimages.macys.com/is/image/MCY/3758286 ")</f>
        <v xml:space="preserve">http://slimages.macys.com/is/image/MCY/3758286 </v>
      </c>
    </row>
    <row r="49" spans="1:13" ht="15.2" customHeight="1" x14ac:dyDescent="0.2">
      <c r="A49" s="6" t="s">
        <v>2214</v>
      </c>
      <c r="B49" s="7" t="s">
        <v>2215</v>
      </c>
      <c r="C49" s="8">
        <v>3</v>
      </c>
      <c r="D49" s="9">
        <v>17.670000000000002</v>
      </c>
      <c r="E49" s="9">
        <v>53.01</v>
      </c>
      <c r="F49" s="10">
        <v>49.5</v>
      </c>
      <c r="G49" s="9">
        <v>148.5</v>
      </c>
      <c r="H49" s="8" t="s">
        <v>2216</v>
      </c>
      <c r="I49" s="7" t="s">
        <v>3246</v>
      </c>
      <c r="J49" s="11" t="s">
        <v>3186</v>
      </c>
      <c r="K49" s="7" t="s">
        <v>3232</v>
      </c>
      <c r="L49" s="7" t="s">
        <v>3233</v>
      </c>
      <c r="M49" s="12" t="str">
        <f>HYPERLINK("http://slimages.macys.com/is/image/MCY/3758286 ")</f>
        <v xml:space="preserve">http://slimages.macys.com/is/image/MCY/3758286 </v>
      </c>
    </row>
    <row r="50" spans="1:13" ht="15.2" customHeight="1" x14ac:dyDescent="0.2">
      <c r="A50" s="6" t="s">
        <v>2558</v>
      </c>
      <c r="B50" s="7" t="s">
        <v>2559</v>
      </c>
      <c r="C50" s="8">
        <v>2</v>
      </c>
      <c r="D50" s="9">
        <v>17.670000000000002</v>
      </c>
      <c r="E50" s="9">
        <v>35.340000000000003</v>
      </c>
      <c r="F50" s="10">
        <v>49.5</v>
      </c>
      <c r="G50" s="9">
        <v>99</v>
      </c>
      <c r="H50" s="8" t="s">
        <v>2216</v>
      </c>
      <c r="I50" s="7" t="s">
        <v>3246</v>
      </c>
      <c r="J50" s="11" t="s">
        <v>3202</v>
      </c>
      <c r="K50" s="7" t="s">
        <v>3232</v>
      </c>
      <c r="L50" s="7" t="s">
        <v>3233</v>
      </c>
      <c r="M50" s="12" t="str">
        <f>HYPERLINK("http://slimages.macys.com/is/image/MCY/3758286 ")</f>
        <v xml:space="preserve">http://slimages.macys.com/is/image/MCY/3758286 </v>
      </c>
    </row>
    <row r="51" spans="1:13" ht="15.2" customHeight="1" x14ac:dyDescent="0.2">
      <c r="A51" s="6" t="s">
        <v>2560</v>
      </c>
      <c r="B51" s="7" t="s">
        <v>2561</v>
      </c>
      <c r="C51" s="8">
        <v>1</v>
      </c>
      <c r="D51" s="9">
        <v>17.670000000000002</v>
      </c>
      <c r="E51" s="9">
        <v>17.670000000000002</v>
      </c>
      <c r="F51" s="10">
        <v>49.5</v>
      </c>
      <c r="G51" s="9">
        <v>49.5</v>
      </c>
      <c r="H51" s="8" t="s">
        <v>2216</v>
      </c>
      <c r="I51" s="7" t="s">
        <v>3246</v>
      </c>
      <c r="J51" s="11" t="s">
        <v>3231</v>
      </c>
      <c r="K51" s="7" t="s">
        <v>3232</v>
      </c>
      <c r="L51" s="7" t="s">
        <v>3233</v>
      </c>
      <c r="M51" s="12" t="str">
        <f>HYPERLINK("http://slimages.macys.com/is/image/MCY/3758286 ")</f>
        <v xml:space="preserve">http://slimages.macys.com/is/image/MCY/3758286 </v>
      </c>
    </row>
    <row r="52" spans="1:13" ht="15.2" customHeight="1" x14ac:dyDescent="0.2">
      <c r="A52" s="6" t="s">
        <v>3858</v>
      </c>
      <c r="B52" s="7" t="s">
        <v>3859</v>
      </c>
      <c r="C52" s="8">
        <v>1</v>
      </c>
      <c r="D52" s="9">
        <v>17.59</v>
      </c>
      <c r="E52" s="9">
        <v>17.59</v>
      </c>
      <c r="F52" s="10">
        <v>49.5</v>
      </c>
      <c r="G52" s="9">
        <v>49.5</v>
      </c>
      <c r="H52" s="8" t="s">
        <v>3660</v>
      </c>
      <c r="I52" s="7" t="s">
        <v>3252</v>
      </c>
      <c r="J52" s="11" t="s">
        <v>3229</v>
      </c>
      <c r="K52" s="7" t="s">
        <v>3193</v>
      </c>
      <c r="L52" s="7" t="s">
        <v>3254</v>
      </c>
      <c r="M52" s="12" t="str">
        <f>HYPERLINK("http://slimages.macys.com/is/image/MCY/3922404 ")</f>
        <v xml:space="preserve">http://slimages.macys.com/is/image/MCY/3922404 </v>
      </c>
    </row>
    <row r="53" spans="1:13" ht="15.2" customHeight="1" x14ac:dyDescent="0.2">
      <c r="A53" s="6" t="s">
        <v>2562</v>
      </c>
      <c r="B53" s="7" t="s">
        <v>2563</v>
      </c>
      <c r="C53" s="8">
        <v>1</v>
      </c>
      <c r="D53" s="9">
        <v>17.59</v>
      </c>
      <c r="E53" s="9">
        <v>17.59</v>
      </c>
      <c r="F53" s="10">
        <v>49.5</v>
      </c>
      <c r="G53" s="9">
        <v>49.5</v>
      </c>
      <c r="H53" s="8" t="s">
        <v>3660</v>
      </c>
      <c r="I53" s="7" t="s">
        <v>3203</v>
      </c>
      <c r="J53" s="11" t="s">
        <v>3229</v>
      </c>
      <c r="K53" s="7" t="s">
        <v>3193</v>
      </c>
      <c r="L53" s="7" t="s">
        <v>3254</v>
      </c>
      <c r="M53" s="12" t="str">
        <f>HYPERLINK("http://slimages.macys.com/is/image/MCY/3922404 ")</f>
        <v xml:space="preserve">http://slimages.macys.com/is/image/MCY/3922404 </v>
      </c>
    </row>
    <row r="54" spans="1:13" ht="15.2" customHeight="1" x14ac:dyDescent="0.2">
      <c r="A54" s="6" t="s">
        <v>2564</v>
      </c>
      <c r="B54" s="7" t="s">
        <v>2565</v>
      </c>
      <c r="C54" s="8">
        <v>1</v>
      </c>
      <c r="D54" s="9">
        <v>17.25</v>
      </c>
      <c r="E54" s="9">
        <v>17.25</v>
      </c>
      <c r="F54" s="10">
        <v>49</v>
      </c>
      <c r="G54" s="9">
        <v>49</v>
      </c>
      <c r="H54" s="8" t="s">
        <v>3274</v>
      </c>
      <c r="I54" s="7" t="s">
        <v>3246</v>
      </c>
      <c r="J54" s="11" t="s">
        <v>3220</v>
      </c>
      <c r="K54" s="7" t="s">
        <v>3217</v>
      </c>
      <c r="L54" s="7" t="s">
        <v>3218</v>
      </c>
      <c r="M54" s="12" t="str">
        <f>HYPERLINK("http://slimages.macys.com/is/image/MCY/3820526 ")</f>
        <v xml:space="preserve">http://slimages.macys.com/is/image/MCY/3820526 </v>
      </c>
    </row>
    <row r="55" spans="1:13" ht="15.2" customHeight="1" x14ac:dyDescent="0.2">
      <c r="A55" s="6" t="s">
        <v>2566</v>
      </c>
      <c r="B55" s="7" t="s">
        <v>2567</v>
      </c>
      <c r="C55" s="8">
        <v>1</v>
      </c>
      <c r="D55" s="9">
        <v>17.25</v>
      </c>
      <c r="E55" s="9">
        <v>17.25</v>
      </c>
      <c r="F55" s="10">
        <v>49</v>
      </c>
      <c r="G55" s="9">
        <v>49</v>
      </c>
      <c r="H55" s="8" t="s">
        <v>3274</v>
      </c>
      <c r="I55" s="7" t="s">
        <v>3216</v>
      </c>
      <c r="J55" s="11" t="s">
        <v>3186</v>
      </c>
      <c r="K55" s="7" t="s">
        <v>3217</v>
      </c>
      <c r="L55" s="7" t="s">
        <v>3218</v>
      </c>
      <c r="M55" s="12" t="str">
        <f>HYPERLINK("http://slimages.macys.com/is/image/MCY/3820526 ")</f>
        <v xml:space="preserve">http://slimages.macys.com/is/image/MCY/3820526 </v>
      </c>
    </row>
    <row r="56" spans="1:13" ht="15.2" customHeight="1" x14ac:dyDescent="0.2">
      <c r="A56" s="6" t="s">
        <v>3661</v>
      </c>
      <c r="B56" s="7" t="s">
        <v>3662</v>
      </c>
      <c r="C56" s="8">
        <v>1</v>
      </c>
      <c r="D56" s="9">
        <v>17.25</v>
      </c>
      <c r="E56" s="9">
        <v>17.25</v>
      </c>
      <c r="F56" s="10">
        <v>49</v>
      </c>
      <c r="G56" s="9">
        <v>49</v>
      </c>
      <c r="H56" s="8" t="s">
        <v>3274</v>
      </c>
      <c r="I56" s="7" t="s">
        <v>3216</v>
      </c>
      <c r="J56" s="11" t="s">
        <v>3220</v>
      </c>
      <c r="K56" s="7" t="s">
        <v>3217</v>
      </c>
      <c r="L56" s="7" t="s">
        <v>3218</v>
      </c>
      <c r="M56" s="12" t="str">
        <f>HYPERLINK("http://slimages.macys.com/is/image/MCY/3820526 ")</f>
        <v xml:space="preserve">http://slimages.macys.com/is/image/MCY/3820526 </v>
      </c>
    </row>
    <row r="57" spans="1:13" ht="15.2" customHeight="1" x14ac:dyDescent="0.2">
      <c r="A57" s="6" t="s">
        <v>2568</v>
      </c>
      <c r="B57" s="7" t="s">
        <v>2569</v>
      </c>
      <c r="C57" s="8">
        <v>1</v>
      </c>
      <c r="D57" s="9">
        <v>17.25</v>
      </c>
      <c r="E57" s="9">
        <v>17.25</v>
      </c>
      <c r="F57" s="10">
        <v>49</v>
      </c>
      <c r="G57" s="9">
        <v>49</v>
      </c>
      <c r="H57" s="8" t="s">
        <v>2366</v>
      </c>
      <c r="I57" s="7" t="s">
        <v>3185</v>
      </c>
      <c r="J57" s="11" t="s">
        <v>3220</v>
      </c>
      <c r="K57" s="7" t="s">
        <v>3217</v>
      </c>
      <c r="L57" s="7" t="s">
        <v>3218</v>
      </c>
      <c r="M57" s="12" t="str">
        <f>HYPERLINK("http://slimages.macys.com/is/image/MCY/3801775 ")</f>
        <v xml:space="preserve">http://slimages.macys.com/is/image/MCY/3801775 </v>
      </c>
    </row>
    <row r="58" spans="1:13" ht="15.2" customHeight="1" x14ac:dyDescent="0.2">
      <c r="A58" s="6" t="s">
        <v>2570</v>
      </c>
      <c r="B58" s="7" t="s">
        <v>2571</v>
      </c>
      <c r="C58" s="8">
        <v>1</v>
      </c>
      <c r="D58" s="9">
        <v>16.5</v>
      </c>
      <c r="E58" s="9">
        <v>16.5</v>
      </c>
      <c r="F58" s="10">
        <v>64</v>
      </c>
      <c r="G58" s="9">
        <v>64</v>
      </c>
      <c r="H58" s="8" t="s">
        <v>3283</v>
      </c>
      <c r="I58" s="7" t="s">
        <v>3185</v>
      </c>
      <c r="J58" s="11" t="s">
        <v>3642</v>
      </c>
      <c r="K58" s="7" t="s">
        <v>3281</v>
      </c>
      <c r="L58" s="7" t="s">
        <v>3282</v>
      </c>
      <c r="M58" s="12" t="str">
        <f>HYPERLINK("http://slimages.macys.com/is/image/MCY/3927330 ")</f>
        <v xml:space="preserve">http://slimages.macys.com/is/image/MCY/3927330 </v>
      </c>
    </row>
    <row r="59" spans="1:13" ht="15.2" customHeight="1" x14ac:dyDescent="0.2">
      <c r="A59" s="6" t="s">
        <v>3278</v>
      </c>
      <c r="B59" s="7" t="s">
        <v>3279</v>
      </c>
      <c r="C59" s="8">
        <v>2</v>
      </c>
      <c r="D59" s="9">
        <v>16.5</v>
      </c>
      <c r="E59" s="9">
        <v>33</v>
      </c>
      <c r="F59" s="10">
        <v>59</v>
      </c>
      <c r="G59" s="9">
        <v>118</v>
      </c>
      <c r="H59" s="8" t="s">
        <v>3280</v>
      </c>
      <c r="I59" s="7" t="s">
        <v>3182</v>
      </c>
      <c r="J59" s="11" t="s">
        <v>3195</v>
      </c>
      <c r="K59" s="7" t="s">
        <v>3281</v>
      </c>
      <c r="L59" s="7" t="s">
        <v>3282</v>
      </c>
      <c r="M59" s="12" t="str">
        <f>HYPERLINK("http://slimages.macys.com/is/image/MCY/3938457 ")</f>
        <v xml:space="preserve">http://slimages.macys.com/is/image/MCY/3938457 </v>
      </c>
    </row>
    <row r="60" spans="1:13" ht="15.2" customHeight="1" x14ac:dyDescent="0.2">
      <c r="A60" s="6" t="s">
        <v>2572</v>
      </c>
      <c r="B60" s="7" t="s">
        <v>2573</v>
      </c>
      <c r="C60" s="8">
        <v>1</v>
      </c>
      <c r="D60" s="9">
        <v>16.5</v>
      </c>
      <c r="E60" s="9">
        <v>16.5</v>
      </c>
      <c r="F60" s="10">
        <v>59</v>
      </c>
      <c r="G60" s="9">
        <v>59</v>
      </c>
      <c r="H60" s="8" t="s">
        <v>2574</v>
      </c>
      <c r="I60" s="7" t="s">
        <v>3203</v>
      </c>
      <c r="J60" s="11" t="s">
        <v>3213</v>
      </c>
      <c r="K60" s="7" t="s">
        <v>3281</v>
      </c>
      <c r="L60" s="7" t="s">
        <v>3367</v>
      </c>
      <c r="M60" s="12" t="str">
        <f>HYPERLINK("http://slimages.macys.com/is/image/MCY/3931857 ")</f>
        <v xml:space="preserve">http://slimages.macys.com/is/image/MCY/3931857 </v>
      </c>
    </row>
    <row r="61" spans="1:13" ht="15.2" customHeight="1" x14ac:dyDescent="0.2">
      <c r="A61" s="6" t="s">
        <v>2575</v>
      </c>
      <c r="B61" s="7" t="s">
        <v>2576</v>
      </c>
      <c r="C61" s="8">
        <v>1</v>
      </c>
      <c r="D61" s="9">
        <v>16</v>
      </c>
      <c r="E61" s="9">
        <v>16</v>
      </c>
      <c r="F61" s="10">
        <v>49.5</v>
      </c>
      <c r="G61" s="9">
        <v>49.5</v>
      </c>
      <c r="H61" s="8" t="s">
        <v>2577</v>
      </c>
      <c r="I61" s="7" t="s">
        <v>3185</v>
      </c>
      <c r="J61" s="11"/>
      <c r="K61" s="7" t="s">
        <v>3193</v>
      </c>
      <c r="L61" s="7" t="s">
        <v>3194</v>
      </c>
      <c r="M61" s="12" t="str">
        <f>HYPERLINK("http://slimages.macys.com/is/image/MCY/3653345 ")</f>
        <v xml:space="preserve">http://slimages.macys.com/is/image/MCY/3653345 </v>
      </c>
    </row>
    <row r="62" spans="1:13" ht="15.2" customHeight="1" x14ac:dyDescent="0.2">
      <c r="A62" s="6" t="s">
        <v>2578</v>
      </c>
      <c r="B62" s="7" t="s">
        <v>2579</v>
      </c>
      <c r="C62" s="8">
        <v>1</v>
      </c>
      <c r="D62" s="9">
        <v>15.93</v>
      </c>
      <c r="E62" s="9">
        <v>15.93</v>
      </c>
      <c r="F62" s="10">
        <v>44.5</v>
      </c>
      <c r="G62" s="9">
        <v>44.5</v>
      </c>
      <c r="H62" s="8" t="s">
        <v>2580</v>
      </c>
      <c r="I62" s="7" t="s">
        <v>3495</v>
      </c>
      <c r="J62" s="11" t="s">
        <v>3204</v>
      </c>
      <c r="K62" s="7" t="s">
        <v>3221</v>
      </c>
      <c r="L62" s="7" t="s">
        <v>3224</v>
      </c>
      <c r="M62" s="12" t="str">
        <f>HYPERLINK("http://slimages.macys.com/is/image/MCY/3621394 ")</f>
        <v xml:space="preserve">http://slimages.macys.com/is/image/MCY/3621394 </v>
      </c>
    </row>
    <row r="63" spans="1:13" ht="15.2" customHeight="1" x14ac:dyDescent="0.2">
      <c r="A63" s="6" t="s">
        <v>2581</v>
      </c>
      <c r="B63" s="7" t="s">
        <v>2582</v>
      </c>
      <c r="C63" s="8">
        <v>1</v>
      </c>
      <c r="D63" s="9">
        <v>15.81</v>
      </c>
      <c r="E63" s="9">
        <v>15.81</v>
      </c>
      <c r="F63" s="10">
        <v>44.5</v>
      </c>
      <c r="G63" s="9">
        <v>44.5</v>
      </c>
      <c r="H63" s="8" t="s">
        <v>2369</v>
      </c>
      <c r="I63" s="7" t="s">
        <v>3207</v>
      </c>
      <c r="J63" s="11" t="s">
        <v>3229</v>
      </c>
      <c r="K63" s="7" t="s">
        <v>3193</v>
      </c>
      <c r="L63" s="7" t="s">
        <v>3194</v>
      </c>
      <c r="M63" s="12" t="str">
        <f>HYPERLINK("http://slimages.macys.com/is/image/MCY/3972905 ")</f>
        <v xml:space="preserve">http://slimages.macys.com/is/image/MCY/3972905 </v>
      </c>
    </row>
    <row r="64" spans="1:13" ht="15.2" customHeight="1" x14ac:dyDescent="0.2">
      <c r="A64" s="6" t="s">
        <v>2583</v>
      </c>
      <c r="B64" s="7" t="s">
        <v>2584</v>
      </c>
      <c r="C64" s="8">
        <v>1</v>
      </c>
      <c r="D64" s="9">
        <v>15.75</v>
      </c>
      <c r="E64" s="9">
        <v>15.75</v>
      </c>
      <c r="F64" s="10">
        <v>49</v>
      </c>
      <c r="G64" s="9">
        <v>49</v>
      </c>
      <c r="H64" s="8" t="s">
        <v>2585</v>
      </c>
      <c r="I64" s="7" t="s">
        <v>3252</v>
      </c>
      <c r="J64" s="11" t="s">
        <v>3186</v>
      </c>
      <c r="K64" s="7" t="s">
        <v>3217</v>
      </c>
      <c r="L64" s="7" t="s">
        <v>3218</v>
      </c>
      <c r="M64" s="12" t="str">
        <f>HYPERLINK("http://slimages.macys.com/is/image/MCY/3789248 ")</f>
        <v xml:space="preserve">http://slimages.macys.com/is/image/MCY/3789248 </v>
      </c>
    </row>
    <row r="65" spans="1:13" ht="15.2" customHeight="1" x14ac:dyDescent="0.2">
      <c r="A65" s="6" t="s">
        <v>2586</v>
      </c>
      <c r="B65" s="7" t="s">
        <v>2587</v>
      </c>
      <c r="C65" s="8">
        <v>1</v>
      </c>
      <c r="D65" s="9">
        <v>15.75</v>
      </c>
      <c r="E65" s="9">
        <v>15.75</v>
      </c>
      <c r="F65" s="10">
        <v>49</v>
      </c>
      <c r="G65" s="9">
        <v>49</v>
      </c>
      <c r="H65" s="8" t="s">
        <v>2588</v>
      </c>
      <c r="I65" s="7" t="s">
        <v>3216</v>
      </c>
      <c r="J65" s="11" t="s">
        <v>3242</v>
      </c>
      <c r="K65" s="7" t="s">
        <v>3217</v>
      </c>
      <c r="L65" s="7" t="s">
        <v>3218</v>
      </c>
      <c r="M65" s="12" t="str">
        <f>HYPERLINK("http://slimages.macys.com/is/image/MCY/3667790 ")</f>
        <v xml:space="preserve">http://slimages.macys.com/is/image/MCY/3667790 </v>
      </c>
    </row>
    <row r="66" spans="1:13" ht="15.2" customHeight="1" x14ac:dyDescent="0.2">
      <c r="A66" s="6" t="s">
        <v>2589</v>
      </c>
      <c r="B66" s="7" t="s">
        <v>2590</v>
      </c>
      <c r="C66" s="8">
        <v>1</v>
      </c>
      <c r="D66" s="9">
        <v>15.75</v>
      </c>
      <c r="E66" s="9">
        <v>15.75</v>
      </c>
      <c r="F66" s="10">
        <v>49</v>
      </c>
      <c r="G66" s="9">
        <v>49</v>
      </c>
      <c r="H66" s="8" t="s">
        <v>3291</v>
      </c>
      <c r="I66" s="7" t="s">
        <v>3252</v>
      </c>
      <c r="J66" s="11" t="s">
        <v>3202</v>
      </c>
      <c r="K66" s="7" t="s">
        <v>3217</v>
      </c>
      <c r="L66" s="7" t="s">
        <v>3218</v>
      </c>
      <c r="M66" s="12" t="str">
        <f>HYPERLINK("http://slimages.macys.com/is/image/MCY/3937264 ")</f>
        <v xml:space="preserve">http://slimages.macys.com/is/image/MCY/3937264 </v>
      </c>
    </row>
    <row r="67" spans="1:13" ht="15.2" customHeight="1" x14ac:dyDescent="0.2">
      <c r="A67" s="6" t="s">
        <v>2591</v>
      </c>
      <c r="B67" s="7" t="s">
        <v>2592</v>
      </c>
      <c r="C67" s="8">
        <v>1</v>
      </c>
      <c r="D67" s="9">
        <v>15.75</v>
      </c>
      <c r="E67" s="9">
        <v>15.75</v>
      </c>
      <c r="F67" s="10">
        <v>49</v>
      </c>
      <c r="G67" s="9">
        <v>49</v>
      </c>
      <c r="H67" s="8" t="s">
        <v>3287</v>
      </c>
      <c r="I67" s="7" t="s">
        <v>3288</v>
      </c>
      <c r="J67" s="11" t="s">
        <v>3231</v>
      </c>
      <c r="K67" s="7" t="s">
        <v>3217</v>
      </c>
      <c r="L67" s="7" t="s">
        <v>3218</v>
      </c>
      <c r="M67" s="12" t="str">
        <f>HYPERLINK("http://slimages.macys.com/is/image/MCY/3667805 ")</f>
        <v xml:space="preserve">http://slimages.macys.com/is/image/MCY/3667805 </v>
      </c>
    </row>
    <row r="68" spans="1:13" ht="15.2" customHeight="1" x14ac:dyDescent="0.2">
      <c r="A68" s="6" t="s">
        <v>2593</v>
      </c>
      <c r="B68" s="7" t="s">
        <v>2594</v>
      </c>
      <c r="C68" s="8">
        <v>1</v>
      </c>
      <c r="D68" s="9">
        <v>15.75</v>
      </c>
      <c r="E68" s="9">
        <v>15.75</v>
      </c>
      <c r="F68" s="10">
        <v>49</v>
      </c>
      <c r="G68" s="9">
        <v>49</v>
      </c>
      <c r="H68" s="8" t="s">
        <v>2588</v>
      </c>
      <c r="I68" s="7" t="s">
        <v>3216</v>
      </c>
      <c r="J68" s="11" t="s">
        <v>3202</v>
      </c>
      <c r="K68" s="7" t="s">
        <v>3217</v>
      </c>
      <c r="L68" s="7" t="s">
        <v>3218</v>
      </c>
      <c r="M68" s="12" t="str">
        <f>HYPERLINK("http://slimages.macys.com/is/image/MCY/3667790 ")</f>
        <v xml:space="preserve">http://slimages.macys.com/is/image/MCY/3667790 </v>
      </c>
    </row>
    <row r="69" spans="1:13" ht="15.2" customHeight="1" x14ac:dyDescent="0.2">
      <c r="A69" s="6" t="s">
        <v>2595</v>
      </c>
      <c r="B69" s="7" t="s">
        <v>2596</v>
      </c>
      <c r="C69" s="8">
        <v>1</v>
      </c>
      <c r="D69" s="9">
        <v>15</v>
      </c>
      <c r="E69" s="9">
        <v>15</v>
      </c>
      <c r="F69" s="10">
        <v>69</v>
      </c>
      <c r="G69" s="9">
        <v>69</v>
      </c>
      <c r="H69" s="8" t="s">
        <v>2597</v>
      </c>
      <c r="I69" s="7" t="s">
        <v>3185</v>
      </c>
      <c r="J69" s="11" t="s">
        <v>3211</v>
      </c>
      <c r="K69" s="7" t="s">
        <v>3281</v>
      </c>
      <c r="L69" s="7" t="s">
        <v>3508</v>
      </c>
      <c r="M69" s="12" t="str">
        <f>HYPERLINK("http://slimages.macys.com/is/image/MCY/3922158 ")</f>
        <v xml:space="preserve">http://slimages.macys.com/is/image/MCY/3922158 </v>
      </c>
    </row>
    <row r="70" spans="1:13" ht="15.2" customHeight="1" x14ac:dyDescent="0.2">
      <c r="A70" s="6" t="s">
        <v>2598</v>
      </c>
      <c r="B70" s="7" t="s">
        <v>2599</v>
      </c>
      <c r="C70" s="8">
        <v>1</v>
      </c>
      <c r="D70" s="9">
        <v>14.5</v>
      </c>
      <c r="E70" s="9">
        <v>14.5</v>
      </c>
      <c r="F70" s="10">
        <v>59</v>
      </c>
      <c r="G70" s="9">
        <v>59</v>
      </c>
      <c r="H70" s="8" t="s">
        <v>2223</v>
      </c>
      <c r="I70" s="7" t="s">
        <v>3364</v>
      </c>
      <c r="J70" s="11" t="s">
        <v>3195</v>
      </c>
      <c r="K70" s="7" t="s">
        <v>3281</v>
      </c>
      <c r="L70" s="7" t="s">
        <v>3282</v>
      </c>
      <c r="M70" s="12" t="str">
        <f>HYPERLINK("http://slimages.macys.com/is/image/MCY/3798070 ")</f>
        <v xml:space="preserve">http://slimages.macys.com/is/image/MCY/3798070 </v>
      </c>
    </row>
    <row r="71" spans="1:13" ht="15.2" customHeight="1" x14ac:dyDescent="0.2">
      <c r="A71" s="6" t="s">
        <v>2600</v>
      </c>
      <c r="B71" s="7" t="s">
        <v>2601</v>
      </c>
      <c r="C71" s="8">
        <v>1</v>
      </c>
      <c r="D71" s="9">
        <v>14.5</v>
      </c>
      <c r="E71" s="9">
        <v>14.5</v>
      </c>
      <c r="F71" s="10">
        <v>45</v>
      </c>
      <c r="G71" s="9">
        <v>45</v>
      </c>
      <c r="H71" s="8" t="s">
        <v>4067</v>
      </c>
      <c r="I71" s="7" t="s">
        <v>3207</v>
      </c>
      <c r="J71" s="11" t="s">
        <v>3242</v>
      </c>
      <c r="K71" s="7" t="s">
        <v>3295</v>
      </c>
      <c r="L71" s="7" t="s">
        <v>3296</v>
      </c>
      <c r="M71" s="12" t="str">
        <f>HYPERLINK("http://slimages.macys.com/is/image/MCY/3841161 ")</f>
        <v xml:space="preserve">http://slimages.macys.com/is/image/MCY/3841161 </v>
      </c>
    </row>
    <row r="72" spans="1:13" ht="15.2" customHeight="1" x14ac:dyDescent="0.2">
      <c r="A72" s="6" t="s">
        <v>4245</v>
      </c>
      <c r="B72" s="7" t="s">
        <v>4246</v>
      </c>
      <c r="C72" s="8">
        <v>1</v>
      </c>
      <c r="D72" s="9">
        <v>14.5</v>
      </c>
      <c r="E72" s="9">
        <v>14.5</v>
      </c>
      <c r="F72" s="10">
        <v>45</v>
      </c>
      <c r="G72" s="9">
        <v>45</v>
      </c>
      <c r="H72" s="8" t="s">
        <v>4067</v>
      </c>
      <c r="I72" s="7" t="s">
        <v>3207</v>
      </c>
      <c r="J72" s="11" t="s">
        <v>3186</v>
      </c>
      <c r="K72" s="7" t="s">
        <v>3295</v>
      </c>
      <c r="L72" s="7" t="s">
        <v>3296</v>
      </c>
      <c r="M72" s="12" t="str">
        <f>HYPERLINK("http://slimages.macys.com/is/image/MCY/3841161 ")</f>
        <v xml:space="preserve">http://slimages.macys.com/is/image/MCY/3841161 </v>
      </c>
    </row>
    <row r="73" spans="1:13" ht="15.2" customHeight="1" x14ac:dyDescent="0.2">
      <c r="A73" s="6" t="s">
        <v>2602</v>
      </c>
      <c r="B73" s="7" t="s">
        <v>2603</v>
      </c>
      <c r="C73" s="8">
        <v>1</v>
      </c>
      <c r="D73" s="9">
        <v>14.5</v>
      </c>
      <c r="E73" s="9">
        <v>14.5</v>
      </c>
      <c r="F73" s="10">
        <v>45</v>
      </c>
      <c r="G73" s="9">
        <v>45</v>
      </c>
      <c r="H73" s="8" t="s">
        <v>4067</v>
      </c>
      <c r="I73" s="7" t="s">
        <v>3252</v>
      </c>
      <c r="J73" s="11" t="s">
        <v>3236</v>
      </c>
      <c r="K73" s="7" t="s">
        <v>3295</v>
      </c>
      <c r="L73" s="7" t="s">
        <v>3296</v>
      </c>
      <c r="M73" s="12" t="str">
        <f>HYPERLINK("http://slimages.macys.com/is/image/MCY/3841161 ")</f>
        <v xml:space="preserve">http://slimages.macys.com/is/image/MCY/3841161 </v>
      </c>
    </row>
    <row r="74" spans="1:13" ht="15.2" customHeight="1" x14ac:dyDescent="0.2">
      <c r="A74" s="6" t="s">
        <v>4068</v>
      </c>
      <c r="B74" s="7" t="s">
        <v>4069</v>
      </c>
      <c r="C74" s="8">
        <v>1</v>
      </c>
      <c r="D74" s="9">
        <v>14.5</v>
      </c>
      <c r="E74" s="9">
        <v>14.5</v>
      </c>
      <c r="F74" s="10">
        <v>45</v>
      </c>
      <c r="G74" s="9">
        <v>45</v>
      </c>
      <c r="H74" s="8" t="s">
        <v>3675</v>
      </c>
      <c r="I74" s="7" t="s">
        <v>3252</v>
      </c>
      <c r="J74" s="11" t="s">
        <v>3231</v>
      </c>
      <c r="K74" s="7" t="s">
        <v>3295</v>
      </c>
      <c r="L74" s="7" t="s">
        <v>3296</v>
      </c>
      <c r="M74" s="12" t="str">
        <f>HYPERLINK("http://slimages.macys.com/is/image/MCY/3801889 ")</f>
        <v xml:space="preserve">http://slimages.macys.com/is/image/MCY/3801889 </v>
      </c>
    </row>
    <row r="75" spans="1:13" ht="15.2" customHeight="1" x14ac:dyDescent="0.2">
      <c r="A75" s="6" t="s">
        <v>2604</v>
      </c>
      <c r="B75" s="7" t="s">
        <v>2605</v>
      </c>
      <c r="C75" s="8">
        <v>1</v>
      </c>
      <c r="D75" s="9">
        <v>14.5</v>
      </c>
      <c r="E75" s="9">
        <v>14.5</v>
      </c>
      <c r="F75" s="10">
        <v>45</v>
      </c>
      <c r="G75" s="9">
        <v>45</v>
      </c>
      <c r="H75" s="8" t="s">
        <v>3675</v>
      </c>
      <c r="I75" s="7" t="s">
        <v>3252</v>
      </c>
      <c r="J75" s="11" t="s">
        <v>3242</v>
      </c>
      <c r="K75" s="7" t="s">
        <v>3295</v>
      </c>
      <c r="L75" s="7" t="s">
        <v>3296</v>
      </c>
      <c r="M75" s="12" t="str">
        <f>HYPERLINK("http://slimages.macys.com/is/image/MCY/3801889 ")</f>
        <v xml:space="preserve">http://slimages.macys.com/is/image/MCY/3801889 </v>
      </c>
    </row>
    <row r="76" spans="1:13" ht="15.2" customHeight="1" x14ac:dyDescent="0.2">
      <c r="A76" s="6" t="s">
        <v>2606</v>
      </c>
      <c r="B76" s="7" t="s">
        <v>2607</v>
      </c>
      <c r="C76" s="8">
        <v>1</v>
      </c>
      <c r="D76" s="9">
        <v>14.5</v>
      </c>
      <c r="E76" s="9">
        <v>14.5</v>
      </c>
      <c r="F76" s="10">
        <v>34.99</v>
      </c>
      <c r="G76" s="9">
        <v>34.99</v>
      </c>
      <c r="H76" s="8" t="s">
        <v>3860</v>
      </c>
      <c r="I76" s="7" t="s">
        <v>3182</v>
      </c>
      <c r="J76" s="11" t="s">
        <v>3336</v>
      </c>
      <c r="K76" s="7" t="s">
        <v>3326</v>
      </c>
      <c r="L76" s="7" t="s">
        <v>3282</v>
      </c>
      <c r="M76" s="12" t="str">
        <f>HYPERLINK("http://slimages.macys.com/is/image/MCY/3652528 ")</f>
        <v xml:space="preserve">http://slimages.macys.com/is/image/MCY/3652528 </v>
      </c>
    </row>
    <row r="77" spans="1:13" ht="15.2" customHeight="1" x14ac:dyDescent="0.2">
      <c r="A77" s="6" t="s">
        <v>3861</v>
      </c>
      <c r="B77" s="7" t="s">
        <v>3862</v>
      </c>
      <c r="C77" s="8">
        <v>1</v>
      </c>
      <c r="D77" s="9">
        <v>14.5</v>
      </c>
      <c r="E77" s="9">
        <v>14.5</v>
      </c>
      <c r="F77" s="10">
        <v>39.5</v>
      </c>
      <c r="G77" s="9">
        <v>39.5</v>
      </c>
      <c r="H77" s="8" t="s">
        <v>3305</v>
      </c>
      <c r="I77" s="7" t="s">
        <v>3185</v>
      </c>
      <c r="J77" s="11" t="s">
        <v>3202</v>
      </c>
      <c r="K77" s="7" t="s">
        <v>3232</v>
      </c>
      <c r="L77" s="7" t="s">
        <v>3306</v>
      </c>
      <c r="M77" s="12" t="str">
        <f>HYPERLINK("http://slimages.macys.com/is/image/MCY/3954949 ")</f>
        <v xml:space="preserve">http://slimages.macys.com/is/image/MCY/3954949 </v>
      </c>
    </row>
    <row r="78" spans="1:13" ht="15.2" customHeight="1" x14ac:dyDescent="0.2">
      <c r="A78" s="6" t="s">
        <v>2608</v>
      </c>
      <c r="B78" s="7" t="s">
        <v>2609</v>
      </c>
      <c r="C78" s="8">
        <v>2</v>
      </c>
      <c r="D78" s="9">
        <v>14.5</v>
      </c>
      <c r="E78" s="9">
        <v>29</v>
      </c>
      <c r="F78" s="10">
        <v>45</v>
      </c>
      <c r="G78" s="9">
        <v>90</v>
      </c>
      <c r="H78" s="8" t="s">
        <v>4067</v>
      </c>
      <c r="I78" s="7" t="s">
        <v>3207</v>
      </c>
      <c r="J78" s="11" t="s">
        <v>3236</v>
      </c>
      <c r="K78" s="7" t="s">
        <v>3295</v>
      </c>
      <c r="L78" s="7" t="s">
        <v>3296</v>
      </c>
      <c r="M78" s="12" t="str">
        <f>HYPERLINK("http://slimages.macys.com/is/image/MCY/3841161 ")</f>
        <v xml:space="preserve">http://slimages.macys.com/is/image/MCY/3841161 </v>
      </c>
    </row>
    <row r="79" spans="1:13" ht="15.2" customHeight="1" x14ac:dyDescent="0.2">
      <c r="A79" s="6" t="s">
        <v>2610</v>
      </c>
      <c r="B79" s="7" t="s">
        <v>2611</v>
      </c>
      <c r="C79" s="8">
        <v>1</v>
      </c>
      <c r="D79" s="9">
        <v>14</v>
      </c>
      <c r="E79" s="9">
        <v>14</v>
      </c>
      <c r="F79" s="10">
        <v>34.99</v>
      </c>
      <c r="G79" s="9">
        <v>34.99</v>
      </c>
      <c r="H79" s="8" t="s">
        <v>3318</v>
      </c>
      <c r="I79" s="7" t="s">
        <v>3201</v>
      </c>
      <c r="J79" s="11" t="s">
        <v>3242</v>
      </c>
      <c r="K79" s="7" t="s">
        <v>3241</v>
      </c>
      <c r="L79" s="7" t="s">
        <v>3206</v>
      </c>
      <c r="M79" s="12" t="str">
        <f>HYPERLINK("http://slimages.macys.com/is/image/MCY/3777014 ")</f>
        <v xml:space="preserve">http://slimages.macys.com/is/image/MCY/3777014 </v>
      </c>
    </row>
    <row r="80" spans="1:13" ht="15.2" customHeight="1" x14ac:dyDescent="0.2">
      <c r="A80" s="6" t="s">
        <v>2612</v>
      </c>
      <c r="B80" s="7" t="s">
        <v>2613</v>
      </c>
      <c r="C80" s="8">
        <v>1</v>
      </c>
      <c r="D80" s="9">
        <v>14</v>
      </c>
      <c r="E80" s="9">
        <v>14</v>
      </c>
      <c r="F80" s="10">
        <v>44</v>
      </c>
      <c r="G80" s="9">
        <v>44</v>
      </c>
      <c r="H80" s="8" t="s">
        <v>3319</v>
      </c>
      <c r="I80" s="7" t="s">
        <v>3252</v>
      </c>
      <c r="J80" s="11" t="s">
        <v>3186</v>
      </c>
      <c r="K80" s="7" t="s">
        <v>3217</v>
      </c>
      <c r="L80" s="7" t="s">
        <v>3218</v>
      </c>
      <c r="M80" s="12" t="str">
        <f>HYPERLINK("http://slimages.macys.com/is/image/MCY/3667831 ")</f>
        <v xml:space="preserve">http://slimages.macys.com/is/image/MCY/3667831 </v>
      </c>
    </row>
    <row r="81" spans="1:13" ht="15.2" customHeight="1" x14ac:dyDescent="0.2">
      <c r="A81" s="6" t="s">
        <v>2614</v>
      </c>
      <c r="B81" s="7" t="s">
        <v>2615</v>
      </c>
      <c r="C81" s="8">
        <v>1</v>
      </c>
      <c r="D81" s="9">
        <v>13.5</v>
      </c>
      <c r="E81" s="9">
        <v>13.5</v>
      </c>
      <c r="F81" s="10">
        <v>29.99</v>
      </c>
      <c r="G81" s="9">
        <v>29.99</v>
      </c>
      <c r="H81" s="8" t="s">
        <v>3678</v>
      </c>
      <c r="I81" s="7" t="s">
        <v>3185</v>
      </c>
      <c r="J81" s="11" t="s">
        <v>3240</v>
      </c>
      <c r="K81" s="7" t="s">
        <v>3326</v>
      </c>
      <c r="L81" s="7" t="s">
        <v>3282</v>
      </c>
      <c r="M81" s="12" t="str">
        <f>HYPERLINK("http://slimages.macys.com/is/image/MCY/3866347 ")</f>
        <v xml:space="preserve">http://slimages.macys.com/is/image/MCY/3866347 </v>
      </c>
    </row>
    <row r="82" spans="1:13" ht="15.2" customHeight="1" x14ac:dyDescent="0.2">
      <c r="A82" s="6" t="s">
        <v>2616</v>
      </c>
      <c r="B82" s="7" t="s">
        <v>2617</v>
      </c>
      <c r="C82" s="8">
        <v>1</v>
      </c>
      <c r="D82" s="9">
        <v>13.5</v>
      </c>
      <c r="E82" s="9">
        <v>13.5</v>
      </c>
      <c r="F82" s="10">
        <v>29.99</v>
      </c>
      <c r="G82" s="9">
        <v>29.99</v>
      </c>
      <c r="H82" s="8" t="s">
        <v>3678</v>
      </c>
      <c r="I82" s="7" t="s">
        <v>3333</v>
      </c>
      <c r="J82" s="11" t="s">
        <v>3338</v>
      </c>
      <c r="K82" s="7" t="s">
        <v>3326</v>
      </c>
      <c r="L82" s="7" t="s">
        <v>3282</v>
      </c>
      <c r="M82" s="12" t="str">
        <f>HYPERLINK("http://slimages.macys.com/is/image/MCY/3866347 ")</f>
        <v xml:space="preserve">http://slimages.macys.com/is/image/MCY/3866347 </v>
      </c>
    </row>
    <row r="83" spans="1:13" ht="15.2" customHeight="1" x14ac:dyDescent="0.2">
      <c r="A83" s="6" t="s">
        <v>2618</v>
      </c>
      <c r="B83" s="7" t="s">
        <v>2619</v>
      </c>
      <c r="C83" s="8">
        <v>1</v>
      </c>
      <c r="D83" s="9">
        <v>13.5</v>
      </c>
      <c r="E83" s="9">
        <v>13.5</v>
      </c>
      <c r="F83" s="10">
        <v>29.99</v>
      </c>
      <c r="G83" s="9">
        <v>29.99</v>
      </c>
      <c r="H83" s="8" t="s">
        <v>3678</v>
      </c>
      <c r="I83" s="7" t="s">
        <v>3185</v>
      </c>
      <c r="J83" s="11" t="s">
        <v>3340</v>
      </c>
      <c r="K83" s="7" t="s">
        <v>3326</v>
      </c>
      <c r="L83" s="7" t="s">
        <v>3282</v>
      </c>
      <c r="M83" s="12" t="str">
        <f>HYPERLINK("http://slimages.macys.com/is/image/MCY/3866347 ")</f>
        <v xml:space="preserve">http://slimages.macys.com/is/image/MCY/3866347 </v>
      </c>
    </row>
    <row r="84" spans="1:13" ht="15.2" customHeight="1" x14ac:dyDescent="0.2">
      <c r="A84" s="6" t="s">
        <v>3865</v>
      </c>
      <c r="B84" s="7" t="s">
        <v>3866</v>
      </c>
      <c r="C84" s="8">
        <v>1</v>
      </c>
      <c r="D84" s="9">
        <v>13.5</v>
      </c>
      <c r="E84" s="9">
        <v>13.5</v>
      </c>
      <c r="F84" s="10">
        <v>29.99</v>
      </c>
      <c r="G84" s="9">
        <v>29.99</v>
      </c>
      <c r="H84" s="8" t="s">
        <v>3678</v>
      </c>
      <c r="I84" s="7" t="s">
        <v>3185</v>
      </c>
      <c r="J84" s="11" t="s">
        <v>3271</v>
      </c>
      <c r="K84" s="7" t="s">
        <v>3326</v>
      </c>
      <c r="L84" s="7" t="s">
        <v>3282</v>
      </c>
      <c r="M84" s="12" t="str">
        <f>HYPERLINK("http://slimages.macys.com/is/image/MCY/3866347 ")</f>
        <v xml:space="preserve">http://slimages.macys.com/is/image/MCY/3866347 </v>
      </c>
    </row>
    <row r="85" spans="1:13" ht="15.2" customHeight="1" x14ac:dyDescent="0.2">
      <c r="A85" s="6" t="s">
        <v>2620</v>
      </c>
      <c r="B85" s="7" t="s">
        <v>2621</v>
      </c>
      <c r="C85" s="8">
        <v>1</v>
      </c>
      <c r="D85" s="9">
        <v>13</v>
      </c>
      <c r="E85" s="9">
        <v>13</v>
      </c>
      <c r="F85" s="10">
        <v>29.99</v>
      </c>
      <c r="G85" s="9">
        <v>29.99</v>
      </c>
      <c r="H85" s="8" t="s">
        <v>3872</v>
      </c>
      <c r="I85" s="7" t="s">
        <v>3185</v>
      </c>
      <c r="J85" s="11" t="s">
        <v>3351</v>
      </c>
      <c r="K85" s="7" t="s">
        <v>3326</v>
      </c>
      <c r="L85" s="7" t="s">
        <v>3282</v>
      </c>
      <c r="M85" s="12" t="str">
        <f>HYPERLINK("http://slimages.macys.com/is/image/MCY/3874256 ")</f>
        <v xml:space="preserve">http://slimages.macys.com/is/image/MCY/3874256 </v>
      </c>
    </row>
    <row r="86" spans="1:13" ht="15.2" customHeight="1" x14ac:dyDescent="0.2">
      <c r="A86" s="6" t="s">
        <v>2622</v>
      </c>
      <c r="B86" s="7" t="s">
        <v>2623</v>
      </c>
      <c r="C86" s="8">
        <v>1</v>
      </c>
      <c r="D86" s="9">
        <v>13</v>
      </c>
      <c r="E86" s="9">
        <v>13</v>
      </c>
      <c r="F86" s="10">
        <v>29.99</v>
      </c>
      <c r="G86" s="9">
        <v>29.99</v>
      </c>
      <c r="H86" s="8" t="s">
        <v>2624</v>
      </c>
      <c r="I86" s="7" t="s">
        <v>3210</v>
      </c>
      <c r="J86" s="11" t="s">
        <v>3240</v>
      </c>
      <c r="K86" s="7" t="s">
        <v>3326</v>
      </c>
      <c r="L86" s="7" t="s">
        <v>3682</v>
      </c>
      <c r="M86" s="12" t="str">
        <f>HYPERLINK("http://slimages.macys.com/is/image/MCY/3955897 ")</f>
        <v xml:space="preserve">http://slimages.macys.com/is/image/MCY/3955897 </v>
      </c>
    </row>
    <row r="87" spans="1:13" ht="15.2" customHeight="1" x14ac:dyDescent="0.2">
      <c r="A87" s="6" t="s">
        <v>2625</v>
      </c>
      <c r="B87" s="7" t="s">
        <v>2626</v>
      </c>
      <c r="C87" s="8">
        <v>1</v>
      </c>
      <c r="D87" s="9">
        <v>13</v>
      </c>
      <c r="E87" s="9">
        <v>13</v>
      </c>
      <c r="F87" s="10">
        <v>29.99</v>
      </c>
      <c r="G87" s="9">
        <v>29.99</v>
      </c>
      <c r="H87" s="8" t="s">
        <v>3685</v>
      </c>
      <c r="I87" s="7" t="s">
        <v>3210</v>
      </c>
      <c r="J87" s="11" t="s">
        <v>3331</v>
      </c>
      <c r="K87" s="7" t="s">
        <v>3326</v>
      </c>
      <c r="L87" s="7" t="s">
        <v>3682</v>
      </c>
      <c r="M87" s="12" t="str">
        <f>HYPERLINK("http://slimages.macys.com/is/image/MCY/3955888 ")</f>
        <v xml:space="preserve">http://slimages.macys.com/is/image/MCY/3955888 </v>
      </c>
    </row>
    <row r="88" spans="1:13" ht="15.2" customHeight="1" x14ac:dyDescent="0.2">
      <c r="A88" s="6" t="s">
        <v>2627</v>
      </c>
      <c r="B88" s="7" t="s">
        <v>2628</v>
      </c>
      <c r="C88" s="8">
        <v>1</v>
      </c>
      <c r="D88" s="9">
        <v>12.65</v>
      </c>
      <c r="E88" s="9">
        <v>12.65</v>
      </c>
      <c r="F88" s="10">
        <v>29.99</v>
      </c>
      <c r="G88" s="9">
        <v>29.99</v>
      </c>
      <c r="H88" s="8" t="s">
        <v>2629</v>
      </c>
      <c r="I88" s="7" t="s">
        <v>3182</v>
      </c>
      <c r="J88" s="11" t="s">
        <v>3336</v>
      </c>
      <c r="K88" s="7" t="s">
        <v>3326</v>
      </c>
      <c r="L88" s="7" t="s">
        <v>3693</v>
      </c>
      <c r="M88" s="12" t="str">
        <f>HYPERLINK("http://slimages.macys.com/is/image/MCY/3797883 ")</f>
        <v xml:space="preserve">http://slimages.macys.com/is/image/MCY/3797883 </v>
      </c>
    </row>
    <row r="89" spans="1:13" ht="15.2" customHeight="1" x14ac:dyDescent="0.2">
      <c r="A89" s="6" t="s">
        <v>2630</v>
      </c>
      <c r="B89" s="7" t="s">
        <v>2631</v>
      </c>
      <c r="C89" s="8">
        <v>1</v>
      </c>
      <c r="D89" s="9">
        <v>12.5</v>
      </c>
      <c r="E89" s="9">
        <v>12.5</v>
      </c>
      <c r="F89" s="10">
        <v>29.99</v>
      </c>
      <c r="G89" s="9">
        <v>29.99</v>
      </c>
      <c r="H89" s="8" t="s">
        <v>4262</v>
      </c>
      <c r="I89" s="7" t="s">
        <v>3333</v>
      </c>
      <c r="J89" s="11" t="s">
        <v>3240</v>
      </c>
      <c r="K89" s="7" t="s">
        <v>3326</v>
      </c>
      <c r="L89" s="7" t="s">
        <v>3282</v>
      </c>
      <c r="M89" s="12" t="str">
        <f>HYPERLINK("http://slimages.macys.com/is/image/MCY/3874242 ")</f>
        <v xml:space="preserve">http://slimages.macys.com/is/image/MCY/3874242 </v>
      </c>
    </row>
    <row r="90" spans="1:13" ht="15.2" customHeight="1" x14ac:dyDescent="0.2">
      <c r="A90" s="6" t="s">
        <v>4265</v>
      </c>
      <c r="B90" s="7" t="s">
        <v>4266</v>
      </c>
      <c r="C90" s="8">
        <v>1</v>
      </c>
      <c r="D90" s="9">
        <v>12.5</v>
      </c>
      <c r="E90" s="9">
        <v>12.5</v>
      </c>
      <c r="F90" s="10">
        <v>29.99</v>
      </c>
      <c r="G90" s="9">
        <v>29.99</v>
      </c>
      <c r="H90" s="8" t="s">
        <v>3699</v>
      </c>
      <c r="I90" s="7" t="s">
        <v>3185</v>
      </c>
      <c r="J90" s="11" t="s">
        <v>3336</v>
      </c>
      <c r="K90" s="7" t="s">
        <v>3326</v>
      </c>
      <c r="L90" s="7" t="s">
        <v>3282</v>
      </c>
      <c r="M90" s="12" t="str">
        <f>HYPERLINK("http://slimages.macys.com/is/image/MCY/3873065 ")</f>
        <v xml:space="preserve">http://slimages.macys.com/is/image/MCY/3873065 </v>
      </c>
    </row>
    <row r="91" spans="1:13" ht="15.2" customHeight="1" x14ac:dyDescent="0.2">
      <c r="A91" s="6" t="s">
        <v>3697</v>
      </c>
      <c r="B91" s="7" t="s">
        <v>3698</v>
      </c>
      <c r="C91" s="8">
        <v>2</v>
      </c>
      <c r="D91" s="9">
        <v>12.5</v>
      </c>
      <c r="E91" s="9">
        <v>25</v>
      </c>
      <c r="F91" s="10">
        <v>29.99</v>
      </c>
      <c r="G91" s="9">
        <v>59.98</v>
      </c>
      <c r="H91" s="8" t="s">
        <v>3699</v>
      </c>
      <c r="I91" s="7" t="s">
        <v>3185</v>
      </c>
      <c r="J91" s="11" t="s">
        <v>3347</v>
      </c>
      <c r="K91" s="7" t="s">
        <v>3326</v>
      </c>
      <c r="L91" s="7" t="s">
        <v>3282</v>
      </c>
      <c r="M91" s="12" t="str">
        <f>HYPERLINK("http://slimages.macys.com/is/image/MCY/3873065 ")</f>
        <v xml:space="preserve">http://slimages.macys.com/is/image/MCY/3873065 </v>
      </c>
    </row>
    <row r="92" spans="1:13" ht="15.2" customHeight="1" x14ac:dyDescent="0.2">
      <c r="A92" s="6" t="s">
        <v>4267</v>
      </c>
      <c r="B92" s="7" t="s">
        <v>4268</v>
      </c>
      <c r="C92" s="8">
        <v>1</v>
      </c>
      <c r="D92" s="9">
        <v>12.5</v>
      </c>
      <c r="E92" s="9">
        <v>12.5</v>
      </c>
      <c r="F92" s="10">
        <v>29.99</v>
      </c>
      <c r="G92" s="9">
        <v>29.99</v>
      </c>
      <c r="H92" s="8" t="s">
        <v>3699</v>
      </c>
      <c r="I92" s="7" t="s">
        <v>3185</v>
      </c>
      <c r="J92" s="11" t="s">
        <v>3240</v>
      </c>
      <c r="K92" s="7" t="s">
        <v>3326</v>
      </c>
      <c r="L92" s="7" t="s">
        <v>3282</v>
      </c>
      <c r="M92" s="12" t="str">
        <f>HYPERLINK("http://slimages.macys.com/is/image/MCY/3873065 ")</f>
        <v xml:space="preserve">http://slimages.macys.com/is/image/MCY/3873065 </v>
      </c>
    </row>
    <row r="93" spans="1:13" ht="15.2" customHeight="1" x14ac:dyDescent="0.2">
      <c r="A93" s="6" t="s">
        <v>2632</v>
      </c>
      <c r="B93" s="7" t="s">
        <v>2633</v>
      </c>
      <c r="C93" s="8">
        <v>1</v>
      </c>
      <c r="D93" s="9">
        <v>12.5</v>
      </c>
      <c r="E93" s="9">
        <v>12.5</v>
      </c>
      <c r="F93" s="10">
        <v>29.99</v>
      </c>
      <c r="G93" s="9">
        <v>29.99</v>
      </c>
      <c r="H93" s="8" t="s">
        <v>2634</v>
      </c>
      <c r="I93" s="7" t="s">
        <v>3210</v>
      </c>
      <c r="J93" s="11" t="s">
        <v>3336</v>
      </c>
      <c r="K93" s="7" t="s">
        <v>3326</v>
      </c>
      <c r="L93" s="7" t="s">
        <v>4274</v>
      </c>
      <c r="M93" s="12" t="str">
        <f>HYPERLINK("http://slimages.macys.com/is/image/MCY/3768568 ")</f>
        <v xml:space="preserve">http://slimages.macys.com/is/image/MCY/3768568 </v>
      </c>
    </row>
    <row r="94" spans="1:13" ht="15.2" customHeight="1" x14ac:dyDescent="0.2">
      <c r="A94" s="6" t="s">
        <v>4263</v>
      </c>
      <c r="B94" s="7" t="s">
        <v>4264</v>
      </c>
      <c r="C94" s="8">
        <v>1</v>
      </c>
      <c r="D94" s="9">
        <v>12.5</v>
      </c>
      <c r="E94" s="9">
        <v>12.5</v>
      </c>
      <c r="F94" s="10">
        <v>29.99</v>
      </c>
      <c r="G94" s="9">
        <v>29.99</v>
      </c>
      <c r="H94" s="8" t="s">
        <v>3699</v>
      </c>
      <c r="I94" s="7" t="s">
        <v>3185</v>
      </c>
      <c r="J94" s="11" t="s">
        <v>3271</v>
      </c>
      <c r="K94" s="7" t="s">
        <v>3326</v>
      </c>
      <c r="L94" s="7" t="s">
        <v>3282</v>
      </c>
      <c r="M94" s="12" t="str">
        <f>HYPERLINK("http://slimages.macys.com/is/image/MCY/3873065 ")</f>
        <v xml:space="preserve">http://slimages.macys.com/is/image/MCY/3873065 </v>
      </c>
    </row>
    <row r="95" spans="1:13" ht="15.2" customHeight="1" x14ac:dyDescent="0.2">
      <c r="A95" s="6" t="s">
        <v>2635</v>
      </c>
      <c r="B95" s="7" t="s">
        <v>2636</v>
      </c>
      <c r="C95" s="8">
        <v>1</v>
      </c>
      <c r="D95" s="9">
        <v>12.5</v>
      </c>
      <c r="E95" s="9">
        <v>12.5</v>
      </c>
      <c r="F95" s="10">
        <v>49</v>
      </c>
      <c r="G95" s="9">
        <v>49</v>
      </c>
      <c r="H95" s="8" t="s">
        <v>3880</v>
      </c>
      <c r="I95" s="7" t="s">
        <v>3252</v>
      </c>
      <c r="J95" s="11" t="s">
        <v>3202</v>
      </c>
      <c r="K95" s="7" t="s">
        <v>3295</v>
      </c>
      <c r="L95" s="7" t="s">
        <v>3296</v>
      </c>
      <c r="M95" s="12" t="str">
        <f>HYPERLINK("http://slimages.macys.com/is/image/MCY/3852652 ")</f>
        <v xml:space="preserve">http://slimages.macys.com/is/image/MCY/3852652 </v>
      </c>
    </row>
    <row r="96" spans="1:13" ht="15.2" customHeight="1" x14ac:dyDescent="0.2">
      <c r="A96" s="6" t="s">
        <v>2637</v>
      </c>
      <c r="B96" s="7" t="s">
        <v>2638</v>
      </c>
      <c r="C96" s="8">
        <v>1</v>
      </c>
      <c r="D96" s="9">
        <v>12.5</v>
      </c>
      <c r="E96" s="9">
        <v>12.5</v>
      </c>
      <c r="F96" s="10">
        <v>39</v>
      </c>
      <c r="G96" s="9">
        <v>39</v>
      </c>
      <c r="H96" s="8" t="s">
        <v>3332</v>
      </c>
      <c r="I96" s="7"/>
      <c r="J96" s="11" t="s">
        <v>3236</v>
      </c>
      <c r="K96" s="7" t="s">
        <v>3295</v>
      </c>
      <c r="L96" s="7" t="s">
        <v>3296</v>
      </c>
      <c r="M96" s="12" t="str">
        <f>HYPERLINK("http://slimages.macys.com/is/image/MCY/3718873 ")</f>
        <v xml:space="preserve">http://slimages.macys.com/is/image/MCY/3718873 </v>
      </c>
    </row>
    <row r="97" spans="1:13" ht="15.2" customHeight="1" x14ac:dyDescent="0.2">
      <c r="A97" s="6" t="s">
        <v>2231</v>
      </c>
      <c r="B97" s="7" t="s">
        <v>2232</v>
      </c>
      <c r="C97" s="8">
        <v>1</v>
      </c>
      <c r="D97" s="9">
        <v>12.5</v>
      </c>
      <c r="E97" s="9">
        <v>12.5</v>
      </c>
      <c r="F97" s="10">
        <v>29.99</v>
      </c>
      <c r="G97" s="9">
        <v>29.99</v>
      </c>
      <c r="H97" s="8" t="s">
        <v>3699</v>
      </c>
      <c r="I97" s="7" t="s">
        <v>3185</v>
      </c>
      <c r="J97" s="11" t="s">
        <v>3340</v>
      </c>
      <c r="K97" s="7" t="s">
        <v>3326</v>
      </c>
      <c r="L97" s="7" t="s">
        <v>3282</v>
      </c>
      <c r="M97" s="12" t="str">
        <f>HYPERLINK("http://slimages.macys.com/is/image/MCY/3873065 ")</f>
        <v xml:space="preserve">http://slimages.macys.com/is/image/MCY/3873065 </v>
      </c>
    </row>
    <row r="98" spans="1:13" ht="15.2" customHeight="1" x14ac:dyDescent="0.2">
      <c r="A98" s="6" t="s">
        <v>2639</v>
      </c>
      <c r="B98" s="7" t="s">
        <v>2640</v>
      </c>
      <c r="C98" s="8">
        <v>1</v>
      </c>
      <c r="D98" s="9">
        <v>12.28</v>
      </c>
      <c r="E98" s="9">
        <v>12.28</v>
      </c>
      <c r="F98" s="10">
        <v>24.99</v>
      </c>
      <c r="G98" s="9">
        <v>24.99</v>
      </c>
      <c r="H98" s="8">
        <v>267210001</v>
      </c>
      <c r="I98" s="7" t="s">
        <v>3286</v>
      </c>
      <c r="J98" s="11" t="s">
        <v>4334</v>
      </c>
      <c r="K98" s="7" t="s">
        <v>3183</v>
      </c>
      <c r="L98" s="7" t="s">
        <v>3184</v>
      </c>
      <c r="M98" s="12" t="str">
        <f>HYPERLINK("http://slimages.macys.com/is/image/MCY/3807533 ")</f>
        <v xml:space="preserve">http://slimages.macys.com/is/image/MCY/3807533 </v>
      </c>
    </row>
    <row r="99" spans="1:13" ht="15.2" customHeight="1" x14ac:dyDescent="0.2">
      <c r="A99" s="6" t="s">
        <v>2641</v>
      </c>
      <c r="B99" s="7" t="s">
        <v>2642</v>
      </c>
      <c r="C99" s="8">
        <v>1</v>
      </c>
      <c r="D99" s="9">
        <v>12</v>
      </c>
      <c r="E99" s="9">
        <v>12</v>
      </c>
      <c r="F99" s="10">
        <v>29.99</v>
      </c>
      <c r="G99" s="9">
        <v>29.99</v>
      </c>
      <c r="H99" s="8" t="s">
        <v>2643</v>
      </c>
      <c r="I99" s="7" t="s">
        <v>3191</v>
      </c>
      <c r="J99" s="11" t="s">
        <v>3340</v>
      </c>
      <c r="K99" s="7" t="s">
        <v>3326</v>
      </c>
      <c r="L99" s="7" t="s">
        <v>3550</v>
      </c>
      <c r="M99" s="12" t="str">
        <f>HYPERLINK("http://slimages.macys.com/is/image/MCY/3826713 ")</f>
        <v xml:space="preserve">http://slimages.macys.com/is/image/MCY/3826713 </v>
      </c>
    </row>
    <row r="100" spans="1:13" ht="15.2" customHeight="1" x14ac:dyDescent="0.2">
      <c r="A100" s="6" t="s">
        <v>2644</v>
      </c>
      <c r="B100" s="7" t="s">
        <v>2645</v>
      </c>
      <c r="C100" s="8">
        <v>1</v>
      </c>
      <c r="D100" s="9">
        <v>12</v>
      </c>
      <c r="E100" s="9">
        <v>12</v>
      </c>
      <c r="F100" s="10">
        <v>29.99</v>
      </c>
      <c r="G100" s="9">
        <v>29.99</v>
      </c>
      <c r="H100" s="8" t="s">
        <v>3884</v>
      </c>
      <c r="I100" s="7" t="s">
        <v>3210</v>
      </c>
      <c r="J100" s="11" t="s">
        <v>3331</v>
      </c>
      <c r="K100" s="7" t="s">
        <v>3326</v>
      </c>
      <c r="L100" s="7" t="s">
        <v>3550</v>
      </c>
      <c r="M100" s="12" t="str">
        <f>HYPERLINK("http://slimages.macys.com/is/image/MCY/3777681 ")</f>
        <v xml:space="preserve">http://slimages.macys.com/is/image/MCY/3777681 </v>
      </c>
    </row>
    <row r="101" spans="1:13" ht="15.2" customHeight="1" x14ac:dyDescent="0.2">
      <c r="A101" s="6" t="s">
        <v>2646</v>
      </c>
      <c r="B101" s="7" t="s">
        <v>2647</v>
      </c>
      <c r="C101" s="8">
        <v>1</v>
      </c>
      <c r="D101" s="9">
        <v>12</v>
      </c>
      <c r="E101" s="9">
        <v>12</v>
      </c>
      <c r="F101" s="10">
        <v>29.99</v>
      </c>
      <c r="G101" s="9">
        <v>29.99</v>
      </c>
      <c r="H101" s="8" t="s">
        <v>3337</v>
      </c>
      <c r="I101" s="7" t="s">
        <v>3185</v>
      </c>
      <c r="J101" s="11" t="s">
        <v>3336</v>
      </c>
      <c r="K101" s="7" t="s">
        <v>3326</v>
      </c>
      <c r="L101" s="7" t="s">
        <v>3327</v>
      </c>
      <c r="M101" s="12" t="str">
        <f>HYPERLINK("http://slimages.macys.com/is/image/MCY/3755436 ")</f>
        <v xml:space="preserve">http://slimages.macys.com/is/image/MCY/3755436 </v>
      </c>
    </row>
    <row r="102" spans="1:13" ht="15.2" customHeight="1" x14ac:dyDescent="0.2">
      <c r="A102" s="6" t="s">
        <v>2648</v>
      </c>
      <c r="B102" s="7" t="s">
        <v>2649</v>
      </c>
      <c r="C102" s="8">
        <v>1</v>
      </c>
      <c r="D102" s="9">
        <v>12</v>
      </c>
      <c r="E102" s="9">
        <v>12</v>
      </c>
      <c r="F102" s="10">
        <v>29.99</v>
      </c>
      <c r="G102" s="9">
        <v>29.99</v>
      </c>
      <c r="H102" s="8" t="s">
        <v>3884</v>
      </c>
      <c r="I102" s="7" t="s">
        <v>3210</v>
      </c>
      <c r="J102" s="11" t="s">
        <v>3351</v>
      </c>
      <c r="K102" s="7" t="s">
        <v>3326</v>
      </c>
      <c r="L102" s="7" t="s">
        <v>3550</v>
      </c>
      <c r="M102" s="12" t="str">
        <f>HYPERLINK("http://slimages.macys.com/is/image/MCY/3777681 ")</f>
        <v xml:space="preserve">http://slimages.macys.com/is/image/MCY/3777681 </v>
      </c>
    </row>
    <row r="103" spans="1:13" ht="15.2" customHeight="1" x14ac:dyDescent="0.2">
      <c r="A103" s="6" t="s">
        <v>2650</v>
      </c>
      <c r="B103" s="7" t="s">
        <v>2651</v>
      </c>
      <c r="C103" s="8">
        <v>1</v>
      </c>
      <c r="D103" s="9">
        <v>11.89</v>
      </c>
      <c r="E103" s="9">
        <v>11.89</v>
      </c>
      <c r="F103" s="10">
        <v>27.99</v>
      </c>
      <c r="G103" s="9">
        <v>27.99</v>
      </c>
      <c r="H103" s="8" t="s">
        <v>3704</v>
      </c>
      <c r="I103" s="7" t="s">
        <v>3185</v>
      </c>
      <c r="J103" s="11" t="s">
        <v>3242</v>
      </c>
      <c r="K103" s="7" t="s">
        <v>3343</v>
      </c>
      <c r="L103" s="7" t="s">
        <v>3354</v>
      </c>
      <c r="M103" s="12" t="str">
        <f t="shared" ref="M103:M109" si="1">HYPERLINK("http://slimages.macys.com/is/image/MCY/3910851 ")</f>
        <v xml:space="preserve">http://slimages.macys.com/is/image/MCY/3910851 </v>
      </c>
    </row>
    <row r="104" spans="1:13" ht="15.2" customHeight="1" x14ac:dyDescent="0.2">
      <c r="A104" s="6" t="s">
        <v>2652</v>
      </c>
      <c r="B104" s="7" t="s">
        <v>2653</v>
      </c>
      <c r="C104" s="8">
        <v>1</v>
      </c>
      <c r="D104" s="9">
        <v>11.89</v>
      </c>
      <c r="E104" s="9">
        <v>11.89</v>
      </c>
      <c r="F104" s="10">
        <v>27.99</v>
      </c>
      <c r="G104" s="9">
        <v>27.99</v>
      </c>
      <c r="H104" s="8" t="s">
        <v>3704</v>
      </c>
      <c r="I104" s="7" t="s">
        <v>3210</v>
      </c>
      <c r="J104" s="11" t="s">
        <v>3186</v>
      </c>
      <c r="K104" s="7" t="s">
        <v>3343</v>
      </c>
      <c r="L104" s="7" t="s">
        <v>3354</v>
      </c>
      <c r="M104" s="12" t="str">
        <f t="shared" si="1"/>
        <v xml:space="preserve">http://slimages.macys.com/is/image/MCY/3910851 </v>
      </c>
    </row>
    <row r="105" spans="1:13" ht="15.2" customHeight="1" x14ac:dyDescent="0.2">
      <c r="A105" s="6" t="s">
        <v>2654</v>
      </c>
      <c r="B105" s="7" t="s">
        <v>2655</v>
      </c>
      <c r="C105" s="8">
        <v>1</v>
      </c>
      <c r="D105" s="9">
        <v>11.89</v>
      </c>
      <c r="E105" s="9">
        <v>11.89</v>
      </c>
      <c r="F105" s="10">
        <v>27.99</v>
      </c>
      <c r="G105" s="9">
        <v>27.99</v>
      </c>
      <c r="H105" s="8" t="s">
        <v>3704</v>
      </c>
      <c r="I105" s="7" t="s">
        <v>3386</v>
      </c>
      <c r="J105" s="11" t="s">
        <v>3202</v>
      </c>
      <c r="K105" s="7" t="s">
        <v>3343</v>
      </c>
      <c r="L105" s="7" t="s">
        <v>3354</v>
      </c>
      <c r="M105" s="12" t="str">
        <f t="shared" si="1"/>
        <v xml:space="preserve">http://slimages.macys.com/is/image/MCY/3910851 </v>
      </c>
    </row>
    <row r="106" spans="1:13" ht="15.2" customHeight="1" x14ac:dyDescent="0.2">
      <c r="A106" s="6" t="s">
        <v>2656</v>
      </c>
      <c r="B106" s="7" t="s">
        <v>2657</v>
      </c>
      <c r="C106" s="8">
        <v>10</v>
      </c>
      <c r="D106" s="9">
        <v>11.89</v>
      </c>
      <c r="E106" s="9">
        <v>118.9</v>
      </c>
      <c r="F106" s="10">
        <v>27.99</v>
      </c>
      <c r="G106" s="9">
        <v>279.89999999999998</v>
      </c>
      <c r="H106" s="8" t="s">
        <v>3704</v>
      </c>
      <c r="I106" s="7" t="s">
        <v>3210</v>
      </c>
      <c r="J106" s="11" t="s">
        <v>3220</v>
      </c>
      <c r="K106" s="7" t="s">
        <v>3343</v>
      </c>
      <c r="L106" s="7" t="s">
        <v>3354</v>
      </c>
      <c r="M106" s="12" t="str">
        <f t="shared" si="1"/>
        <v xml:space="preserve">http://slimages.macys.com/is/image/MCY/3910851 </v>
      </c>
    </row>
    <row r="107" spans="1:13" ht="15.2" customHeight="1" x14ac:dyDescent="0.2">
      <c r="A107" s="6" t="s">
        <v>2658</v>
      </c>
      <c r="B107" s="7" t="s">
        <v>2659</v>
      </c>
      <c r="C107" s="8">
        <v>13</v>
      </c>
      <c r="D107" s="9">
        <v>11.89</v>
      </c>
      <c r="E107" s="9">
        <v>154.57</v>
      </c>
      <c r="F107" s="10">
        <v>27.99</v>
      </c>
      <c r="G107" s="9">
        <v>363.87</v>
      </c>
      <c r="H107" s="8" t="s">
        <v>3704</v>
      </c>
      <c r="I107" s="7" t="s">
        <v>3386</v>
      </c>
      <c r="J107" s="11" t="s">
        <v>3242</v>
      </c>
      <c r="K107" s="7" t="s">
        <v>3343</v>
      </c>
      <c r="L107" s="7" t="s">
        <v>3354</v>
      </c>
      <c r="M107" s="12" t="str">
        <f t="shared" si="1"/>
        <v xml:space="preserve">http://slimages.macys.com/is/image/MCY/3910851 </v>
      </c>
    </row>
    <row r="108" spans="1:13" ht="15.2" customHeight="1" x14ac:dyDescent="0.2">
      <c r="A108" s="6" t="s">
        <v>3891</v>
      </c>
      <c r="B108" s="7" t="s">
        <v>3892</v>
      </c>
      <c r="C108" s="8">
        <v>19</v>
      </c>
      <c r="D108" s="9">
        <v>11.89</v>
      </c>
      <c r="E108" s="9">
        <v>225.91</v>
      </c>
      <c r="F108" s="10">
        <v>27.99</v>
      </c>
      <c r="G108" s="9">
        <v>531.80999999999995</v>
      </c>
      <c r="H108" s="8" t="s">
        <v>3704</v>
      </c>
      <c r="I108" s="7" t="s">
        <v>3355</v>
      </c>
      <c r="J108" s="11" t="s">
        <v>3202</v>
      </c>
      <c r="K108" s="7" t="s">
        <v>3343</v>
      </c>
      <c r="L108" s="7" t="s">
        <v>3354</v>
      </c>
      <c r="M108" s="12" t="str">
        <f t="shared" si="1"/>
        <v xml:space="preserve">http://slimages.macys.com/is/image/MCY/3910851 </v>
      </c>
    </row>
    <row r="109" spans="1:13" ht="15.2" customHeight="1" x14ac:dyDescent="0.2">
      <c r="A109" s="6" t="s">
        <v>3702</v>
      </c>
      <c r="B109" s="7" t="s">
        <v>3703</v>
      </c>
      <c r="C109" s="8">
        <v>3</v>
      </c>
      <c r="D109" s="9">
        <v>11.89</v>
      </c>
      <c r="E109" s="9">
        <v>35.67</v>
      </c>
      <c r="F109" s="10">
        <v>27.99</v>
      </c>
      <c r="G109" s="9">
        <v>83.97</v>
      </c>
      <c r="H109" s="8" t="s">
        <v>3704</v>
      </c>
      <c r="I109" s="7" t="s">
        <v>3355</v>
      </c>
      <c r="J109" s="11" t="s">
        <v>3220</v>
      </c>
      <c r="K109" s="7" t="s">
        <v>3343</v>
      </c>
      <c r="L109" s="7" t="s">
        <v>3354</v>
      </c>
      <c r="M109" s="12" t="str">
        <f t="shared" si="1"/>
        <v xml:space="preserve">http://slimages.macys.com/is/image/MCY/3910851 </v>
      </c>
    </row>
    <row r="110" spans="1:13" ht="15.2" customHeight="1" x14ac:dyDescent="0.2">
      <c r="A110" s="6" t="s">
        <v>2660</v>
      </c>
      <c r="B110" s="7" t="s">
        <v>2661</v>
      </c>
      <c r="C110" s="8">
        <v>4</v>
      </c>
      <c r="D110" s="9">
        <v>11.65</v>
      </c>
      <c r="E110" s="9">
        <v>46.6</v>
      </c>
      <c r="F110" s="10">
        <v>27.99</v>
      </c>
      <c r="G110" s="9">
        <v>111.96</v>
      </c>
      <c r="H110" s="8" t="s">
        <v>2662</v>
      </c>
      <c r="I110" s="7" t="s">
        <v>3252</v>
      </c>
      <c r="J110" s="11" t="s">
        <v>3220</v>
      </c>
      <c r="K110" s="7" t="s">
        <v>3300</v>
      </c>
      <c r="L110" s="7" t="s">
        <v>3301</v>
      </c>
      <c r="M110" s="12" t="str">
        <f>HYPERLINK("http://slimages.macys.com/is/image/MCY/3899787 ")</f>
        <v xml:space="preserve">http://slimages.macys.com/is/image/MCY/3899787 </v>
      </c>
    </row>
    <row r="111" spans="1:13" ht="15.2" customHeight="1" x14ac:dyDescent="0.2">
      <c r="A111" s="6" t="s">
        <v>2237</v>
      </c>
      <c r="B111" s="7" t="s">
        <v>2238</v>
      </c>
      <c r="C111" s="8">
        <v>1</v>
      </c>
      <c r="D111" s="9">
        <v>11.65</v>
      </c>
      <c r="E111" s="9">
        <v>11.65</v>
      </c>
      <c r="F111" s="10">
        <v>27.99</v>
      </c>
      <c r="G111" s="9">
        <v>27.99</v>
      </c>
      <c r="H111" s="8" t="s">
        <v>2234</v>
      </c>
      <c r="I111" s="7" t="s">
        <v>3185</v>
      </c>
      <c r="J111" s="11" t="s">
        <v>3202</v>
      </c>
      <c r="K111" s="7" t="s">
        <v>3300</v>
      </c>
      <c r="L111" s="7" t="s">
        <v>3301</v>
      </c>
      <c r="M111" s="12" t="str">
        <f>HYPERLINK("http://slimages.macys.com/is/image/MCY/3913107 ")</f>
        <v xml:space="preserve">http://slimages.macys.com/is/image/MCY/3913107 </v>
      </c>
    </row>
    <row r="112" spans="1:13" ht="15.2" customHeight="1" x14ac:dyDescent="0.2">
      <c r="A112" s="6" t="s">
        <v>3705</v>
      </c>
      <c r="B112" s="7" t="s">
        <v>3706</v>
      </c>
      <c r="C112" s="8">
        <v>1</v>
      </c>
      <c r="D112" s="9">
        <v>11.5</v>
      </c>
      <c r="E112" s="9">
        <v>11.5</v>
      </c>
      <c r="F112" s="10">
        <v>29.99</v>
      </c>
      <c r="G112" s="9">
        <v>29.99</v>
      </c>
      <c r="H112" s="8" t="s">
        <v>3350</v>
      </c>
      <c r="I112" s="7" t="s">
        <v>3185</v>
      </c>
      <c r="J112" s="11" t="s">
        <v>3240</v>
      </c>
      <c r="K112" s="7" t="s">
        <v>3326</v>
      </c>
      <c r="L112" s="7" t="s">
        <v>3327</v>
      </c>
      <c r="M112" s="12" t="str">
        <f>HYPERLINK("http://slimages.macys.com/is/image/MCY/3899544 ")</f>
        <v xml:space="preserve">http://slimages.macys.com/is/image/MCY/3899544 </v>
      </c>
    </row>
    <row r="113" spans="1:13" ht="15.2" customHeight="1" x14ac:dyDescent="0.2">
      <c r="A113" s="6" t="s">
        <v>2663</v>
      </c>
      <c r="B113" s="7" t="s">
        <v>2664</v>
      </c>
      <c r="C113" s="8">
        <v>1</v>
      </c>
      <c r="D113" s="9">
        <v>11.5</v>
      </c>
      <c r="E113" s="9">
        <v>11.5</v>
      </c>
      <c r="F113" s="10">
        <v>29.99</v>
      </c>
      <c r="G113" s="9">
        <v>29.99</v>
      </c>
      <c r="H113" s="8" t="s">
        <v>3350</v>
      </c>
      <c r="I113" s="7" t="s">
        <v>3207</v>
      </c>
      <c r="J113" s="11" t="s">
        <v>3204</v>
      </c>
      <c r="K113" s="7" t="s">
        <v>3326</v>
      </c>
      <c r="L113" s="7" t="s">
        <v>3327</v>
      </c>
      <c r="M113" s="12" t="str">
        <f>HYPERLINK("http://slimages.macys.com/is/image/MCY/3899624 ")</f>
        <v xml:space="preserve">http://slimages.macys.com/is/image/MCY/3899624 </v>
      </c>
    </row>
    <row r="114" spans="1:13" ht="15.2" customHeight="1" x14ac:dyDescent="0.2">
      <c r="A114" s="6" t="s">
        <v>2239</v>
      </c>
      <c r="B114" s="7" t="s">
        <v>2240</v>
      </c>
      <c r="C114" s="8">
        <v>2</v>
      </c>
      <c r="D114" s="9">
        <v>11.5</v>
      </c>
      <c r="E114" s="9">
        <v>23</v>
      </c>
      <c r="F114" s="10">
        <v>29.99</v>
      </c>
      <c r="G114" s="9">
        <v>59.98</v>
      </c>
      <c r="H114" s="8" t="s">
        <v>3350</v>
      </c>
      <c r="I114" s="7" t="s">
        <v>3207</v>
      </c>
      <c r="J114" s="11" t="s">
        <v>3351</v>
      </c>
      <c r="K114" s="7" t="s">
        <v>3326</v>
      </c>
      <c r="L114" s="7" t="s">
        <v>3327</v>
      </c>
      <c r="M114" s="12" t="str">
        <f>HYPERLINK("http://slimages.macys.com/is/image/MCY/3899624 ")</f>
        <v xml:space="preserve">http://slimages.macys.com/is/image/MCY/3899624 </v>
      </c>
    </row>
    <row r="115" spans="1:13" ht="15.2" customHeight="1" x14ac:dyDescent="0.2">
      <c r="A115" s="6" t="s">
        <v>2665</v>
      </c>
      <c r="B115" s="7" t="s">
        <v>2666</v>
      </c>
      <c r="C115" s="8">
        <v>1</v>
      </c>
      <c r="D115" s="9">
        <v>11.5</v>
      </c>
      <c r="E115" s="9">
        <v>11.5</v>
      </c>
      <c r="F115" s="10">
        <v>39</v>
      </c>
      <c r="G115" s="9">
        <v>39</v>
      </c>
      <c r="H115" s="8" t="s">
        <v>2667</v>
      </c>
      <c r="I115" s="7" t="s">
        <v>3185</v>
      </c>
      <c r="J115" s="11" t="s">
        <v>3202</v>
      </c>
      <c r="K115" s="7" t="s">
        <v>3295</v>
      </c>
      <c r="L115" s="7" t="s">
        <v>3296</v>
      </c>
      <c r="M115" s="12" t="str">
        <f>HYPERLINK("http://slimages.macys.com/is/image/MCY/3672972 ")</f>
        <v xml:space="preserve">http://slimages.macys.com/is/image/MCY/3672972 </v>
      </c>
    </row>
    <row r="116" spans="1:13" ht="15.2" customHeight="1" x14ac:dyDescent="0.2">
      <c r="A116" s="6" t="s">
        <v>3348</v>
      </c>
      <c r="B116" s="7" t="s">
        <v>3349</v>
      </c>
      <c r="C116" s="8">
        <v>2</v>
      </c>
      <c r="D116" s="9">
        <v>11.5</v>
      </c>
      <c r="E116" s="9">
        <v>23</v>
      </c>
      <c r="F116" s="10">
        <v>29.99</v>
      </c>
      <c r="G116" s="9">
        <v>59.98</v>
      </c>
      <c r="H116" s="8" t="s">
        <v>3350</v>
      </c>
      <c r="I116" s="7" t="s">
        <v>3185</v>
      </c>
      <c r="J116" s="11" t="s">
        <v>3351</v>
      </c>
      <c r="K116" s="7" t="s">
        <v>3326</v>
      </c>
      <c r="L116" s="7" t="s">
        <v>3327</v>
      </c>
      <c r="M116" s="12" t="str">
        <f>HYPERLINK("http://slimages.macys.com/is/image/MCY/3899544 ")</f>
        <v xml:space="preserve">http://slimages.macys.com/is/image/MCY/3899544 </v>
      </c>
    </row>
    <row r="117" spans="1:13" ht="15.2" customHeight="1" x14ac:dyDescent="0.2">
      <c r="A117" s="6" t="s">
        <v>2668</v>
      </c>
      <c r="B117" s="7" t="s">
        <v>2669</v>
      </c>
      <c r="C117" s="8">
        <v>1</v>
      </c>
      <c r="D117" s="9">
        <v>11.5</v>
      </c>
      <c r="E117" s="9">
        <v>11.5</v>
      </c>
      <c r="F117" s="10">
        <v>27.99</v>
      </c>
      <c r="G117" s="9">
        <v>27.99</v>
      </c>
      <c r="H117" s="8" t="s">
        <v>3342</v>
      </c>
      <c r="I117" s="7" t="s">
        <v>3234</v>
      </c>
      <c r="J117" s="11" t="s">
        <v>3220</v>
      </c>
      <c r="K117" s="7" t="s">
        <v>3343</v>
      </c>
      <c r="L117" s="7" t="s">
        <v>3344</v>
      </c>
      <c r="M117" s="12" t="str">
        <f>HYPERLINK("http://slimages.macys.com/is/image/MCY/3777812 ")</f>
        <v xml:space="preserve">http://slimages.macys.com/is/image/MCY/3777812 </v>
      </c>
    </row>
    <row r="118" spans="1:13" ht="15.2" customHeight="1" x14ac:dyDescent="0.2">
      <c r="A118" s="6" t="s">
        <v>2670</v>
      </c>
      <c r="B118" s="7" t="s">
        <v>2671</v>
      </c>
      <c r="C118" s="8">
        <v>1</v>
      </c>
      <c r="D118" s="9">
        <v>11.5</v>
      </c>
      <c r="E118" s="9">
        <v>11.5</v>
      </c>
      <c r="F118" s="10">
        <v>29.99</v>
      </c>
      <c r="G118" s="9">
        <v>29.99</v>
      </c>
      <c r="H118" s="8" t="s">
        <v>3350</v>
      </c>
      <c r="I118" s="7" t="s">
        <v>3185</v>
      </c>
      <c r="J118" s="11" t="s">
        <v>3338</v>
      </c>
      <c r="K118" s="7" t="s">
        <v>3326</v>
      </c>
      <c r="L118" s="7" t="s">
        <v>3327</v>
      </c>
      <c r="M118" s="12" t="str">
        <f>HYPERLINK("http://slimages.macys.com/is/image/MCY/3899544 ")</f>
        <v xml:space="preserve">http://slimages.macys.com/is/image/MCY/3899544 </v>
      </c>
    </row>
    <row r="119" spans="1:13" ht="15.2" customHeight="1" x14ac:dyDescent="0.2">
      <c r="A119" s="6" t="s">
        <v>3903</v>
      </c>
      <c r="B119" s="7" t="s">
        <v>3904</v>
      </c>
      <c r="C119" s="8">
        <v>1</v>
      </c>
      <c r="D119" s="9">
        <v>11.5</v>
      </c>
      <c r="E119" s="9">
        <v>11.5</v>
      </c>
      <c r="F119" s="10">
        <v>29.99</v>
      </c>
      <c r="G119" s="9">
        <v>29.99</v>
      </c>
      <c r="H119" s="8" t="s">
        <v>3350</v>
      </c>
      <c r="I119" s="7" t="s">
        <v>3207</v>
      </c>
      <c r="J119" s="11" t="s">
        <v>3240</v>
      </c>
      <c r="K119" s="7" t="s">
        <v>3326</v>
      </c>
      <c r="L119" s="7" t="s">
        <v>3327</v>
      </c>
      <c r="M119" s="12" t="str">
        <f>HYPERLINK("http://slimages.macys.com/is/image/MCY/3899624 ")</f>
        <v xml:space="preserve">http://slimages.macys.com/is/image/MCY/3899624 </v>
      </c>
    </row>
    <row r="120" spans="1:13" ht="15.2" customHeight="1" x14ac:dyDescent="0.2">
      <c r="A120" s="6" t="s">
        <v>2672</v>
      </c>
      <c r="B120" s="7" t="s">
        <v>2673</v>
      </c>
      <c r="C120" s="8">
        <v>1</v>
      </c>
      <c r="D120" s="9">
        <v>11.5</v>
      </c>
      <c r="E120" s="9">
        <v>11.5</v>
      </c>
      <c r="F120" s="10">
        <v>29.99</v>
      </c>
      <c r="G120" s="9">
        <v>29.99</v>
      </c>
      <c r="H120" s="8" t="s">
        <v>3350</v>
      </c>
      <c r="I120" s="7" t="s">
        <v>3207</v>
      </c>
      <c r="J120" s="11" t="s">
        <v>3271</v>
      </c>
      <c r="K120" s="7" t="s">
        <v>3326</v>
      </c>
      <c r="L120" s="7" t="s">
        <v>3327</v>
      </c>
      <c r="M120" s="12" t="str">
        <f>HYPERLINK("http://slimages.macys.com/is/image/MCY/3899624 ")</f>
        <v xml:space="preserve">http://slimages.macys.com/is/image/MCY/3899624 </v>
      </c>
    </row>
    <row r="121" spans="1:13" ht="15.2" customHeight="1" x14ac:dyDescent="0.2">
      <c r="A121" s="6" t="s">
        <v>3901</v>
      </c>
      <c r="B121" s="7" t="s">
        <v>3902</v>
      </c>
      <c r="C121" s="8">
        <v>1</v>
      </c>
      <c r="D121" s="9">
        <v>11.5</v>
      </c>
      <c r="E121" s="9">
        <v>11.5</v>
      </c>
      <c r="F121" s="10">
        <v>29.99</v>
      </c>
      <c r="G121" s="9">
        <v>29.99</v>
      </c>
      <c r="H121" s="8" t="s">
        <v>3350</v>
      </c>
      <c r="I121" s="7" t="s">
        <v>3207</v>
      </c>
      <c r="J121" s="11" t="s">
        <v>3340</v>
      </c>
      <c r="K121" s="7" t="s">
        <v>3326</v>
      </c>
      <c r="L121" s="7" t="s">
        <v>3327</v>
      </c>
      <c r="M121" s="12" t="str">
        <f>HYPERLINK("http://slimages.macys.com/is/image/MCY/3899624 ")</f>
        <v xml:space="preserve">http://slimages.macys.com/is/image/MCY/3899624 </v>
      </c>
    </row>
    <row r="122" spans="1:13" ht="15.2" customHeight="1" x14ac:dyDescent="0.2">
      <c r="A122" s="6" t="s">
        <v>2674</v>
      </c>
      <c r="B122" s="7" t="s">
        <v>2675</v>
      </c>
      <c r="C122" s="8">
        <v>2</v>
      </c>
      <c r="D122" s="9">
        <v>11.41</v>
      </c>
      <c r="E122" s="9">
        <v>22.82</v>
      </c>
      <c r="F122" s="10">
        <v>29.5</v>
      </c>
      <c r="G122" s="9">
        <v>59</v>
      </c>
      <c r="H122" s="8" t="s">
        <v>2676</v>
      </c>
      <c r="I122" s="7" t="s">
        <v>3185</v>
      </c>
      <c r="J122" s="11" t="s">
        <v>3213</v>
      </c>
      <c r="K122" s="7" t="s">
        <v>3193</v>
      </c>
      <c r="L122" s="7" t="s">
        <v>2677</v>
      </c>
      <c r="M122" s="12" t="str">
        <f>HYPERLINK("http://slimages.macys.com/is/image/MCY/3959123 ")</f>
        <v xml:space="preserve">http://slimages.macys.com/is/image/MCY/3959123 </v>
      </c>
    </row>
    <row r="123" spans="1:13" ht="15.2" customHeight="1" x14ac:dyDescent="0.2">
      <c r="A123" s="6" t="s">
        <v>2678</v>
      </c>
      <c r="B123" s="7" t="s">
        <v>2679</v>
      </c>
      <c r="C123" s="8">
        <v>1</v>
      </c>
      <c r="D123" s="9">
        <v>11.41</v>
      </c>
      <c r="E123" s="9">
        <v>11.41</v>
      </c>
      <c r="F123" s="10">
        <v>29.5</v>
      </c>
      <c r="G123" s="9">
        <v>29.5</v>
      </c>
      <c r="H123" s="8" t="s">
        <v>2676</v>
      </c>
      <c r="I123" s="7" t="s">
        <v>3185</v>
      </c>
      <c r="J123" s="11" t="s">
        <v>3229</v>
      </c>
      <c r="K123" s="7" t="s">
        <v>3193</v>
      </c>
      <c r="L123" s="7" t="s">
        <v>2677</v>
      </c>
      <c r="M123" s="12" t="str">
        <f>HYPERLINK("http://slimages.macys.com/is/image/MCY/3959123 ")</f>
        <v xml:space="preserve">http://slimages.macys.com/is/image/MCY/3959123 </v>
      </c>
    </row>
    <row r="124" spans="1:13" ht="15.2" customHeight="1" x14ac:dyDescent="0.2">
      <c r="A124" s="6" t="s">
        <v>2680</v>
      </c>
      <c r="B124" s="7" t="s">
        <v>2681</v>
      </c>
      <c r="C124" s="8">
        <v>1</v>
      </c>
      <c r="D124" s="9">
        <v>11.41</v>
      </c>
      <c r="E124" s="9">
        <v>11.41</v>
      </c>
      <c r="F124" s="10">
        <v>29.5</v>
      </c>
      <c r="G124" s="9">
        <v>29.5</v>
      </c>
      <c r="H124" s="8" t="s">
        <v>2676</v>
      </c>
      <c r="I124" s="7" t="s">
        <v>3185</v>
      </c>
      <c r="J124" s="11"/>
      <c r="K124" s="7" t="s">
        <v>3193</v>
      </c>
      <c r="L124" s="7" t="s">
        <v>2677</v>
      </c>
      <c r="M124" s="12" t="str">
        <f>HYPERLINK("http://slimages.macys.com/is/image/MCY/3959123 ")</f>
        <v xml:space="preserve">http://slimages.macys.com/is/image/MCY/3959123 </v>
      </c>
    </row>
    <row r="125" spans="1:13" ht="15.2" customHeight="1" x14ac:dyDescent="0.2">
      <c r="A125" s="6" t="s">
        <v>2682</v>
      </c>
      <c r="B125" s="7" t="s">
        <v>2683</v>
      </c>
      <c r="C125" s="8">
        <v>1</v>
      </c>
      <c r="D125" s="9">
        <v>10.76</v>
      </c>
      <c r="E125" s="9">
        <v>10.76</v>
      </c>
      <c r="F125" s="10">
        <v>29.5</v>
      </c>
      <c r="G125" s="9">
        <v>29.5</v>
      </c>
      <c r="H125" s="8" t="s">
        <v>2684</v>
      </c>
      <c r="I125" s="7" t="s">
        <v>3203</v>
      </c>
      <c r="J125" s="11" t="s">
        <v>3231</v>
      </c>
      <c r="K125" s="7" t="s">
        <v>3221</v>
      </c>
      <c r="L125" s="7" t="s">
        <v>3224</v>
      </c>
      <c r="M125" s="12" t="str">
        <f>HYPERLINK("http://slimages.macys.com/is/image/MCY/3700884 ")</f>
        <v xml:space="preserve">http://slimages.macys.com/is/image/MCY/3700884 </v>
      </c>
    </row>
    <row r="126" spans="1:13" ht="15.2" customHeight="1" x14ac:dyDescent="0.2">
      <c r="A126" s="6" t="s">
        <v>2685</v>
      </c>
      <c r="B126" s="7" t="s">
        <v>2686</v>
      </c>
      <c r="C126" s="8">
        <v>1</v>
      </c>
      <c r="D126" s="9">
        <v>10.75</v>
      </c>
      <c r="E126" s="9">
        <v>10.75</v>
      </c>
      <c r="F126" s="10">
        <v>26.99</v>
      </c>
      <c r="G126" s="9">
        <v>26.99</v>
      </c>
      <c r="H126" s="8" t="s">
        <v>2687</v>
      </c>
      <c r="I126" s="7" t="s">
        <v>3234</v>
      </c>
      <c r="J126" s="11" t="s">
        <v>3220</v>
      </c>
      <c r="K126" s="7" t="s">
        <v>3241</v>
      </c>
      <c r="L126" s="7" t="s">
        <v>3365</v>
      </c>
      <c r="M126" s="12" t="str">
        <f>HYPERLINK("http://slimages.macys.com/is/image/MCY/3817465 ")</f>
        <v xml:space="preserve">http://slimages.macys.com/is/image/MCY/3817465 </v>
      </c>
    </row>
    <row r="127" spans="1:13" ht="15.2" customHeight="1" x14ac:dyDescent="0.2">
      <c r="A127" s="6" t="s">
        <v>2688</v>
      </c>
      <c r="B127" s="7" t="s">
        <v>2689</v>
      </c>
      <c r="C127" s="8">
        <v>3</v>
      </c>
      <c r="D127" s="9">
        <v>10.65</v>
      </c>
      <c r="E127" s="9">
        <v>31.95</v>
      </c>
      <c r="F127" s="10">
        <v>27.99</v>
      </c>
      <c r="G127" s="9">
        <v>83.97</v>
      </c>
      <c r="H127" s="8" t="s">
        <v>3913</v>
      </c>
      <c r="I127" s="7" t="s">
        <v>3252</v>
      </c>
      <c r="J127" s="11" t="s">
        <v>3202</v>
      </c>
      <c r="K127" s="7" t="s">
        <v>3343</v>
      </c>
      <c r="L127" s="7" t="s">
        <v>3354</v>
      </c>
      <c r="M127" s="12" t="str">
        <f>HYPERLINK("http://slimages.macys.com/is/image/MCY/3787610 ")</f>
        <v xml:space="preserve">http://slimages.macys.com/is/image/MCY/3787610 </v>
      </c>
    </row>
    <row r="128" spans="1:13" ht="15.2" customHeight="1" x14ac:dyDescent="0.2">
      <c r="A128" s="6" t="s">
        <v>2690</v>
      </c>
      <c r="B128" s="7" t="s">
        <v>2691</v>
      </c>
      <c r="C128" s="8">
        <v>2</v>
      </c>
      <c r="D128" s="9">
        <v>10.65</v>
      </c>
      <c r="E128" s="9">
        <v>21.3</v>
      </c>
      <c r="F128" s="10">
        <v>27.99</v>
      </c>
      <c r="G128" s="9">
        <v>55.98</v>
      </c>
      <c r="H128" s="8" t="s">
        <v>3913</v>
      </c>
      <c r="I128" s="7" t="s">
        <v>3252</v>
      </c>
      <c r="J128" s="11" t="s">
        <v>3220</v>
      </c>
      <c r="K128" s="7" t="s">
        <v>3343</v>
      </c>
      <c r="L128" s="7" t="s">
        <v>3354</v>
      </c>
      <c r="M128" s="12" t="str">
        <f>HYPERLINK("http://slimages.macys.com/is/image/MCY/3787610 ")</f>
        <v xml:space="preserve">http://slimages.macys.com/is/image/MCY/3787610 </v>
      </c>
    </row>
    <row r="129" spans="1:13" ht="15.2" customHeight="1" x14ac:dyDescent="0.2">
      <c r="A129" s="6" t="s">
        <v>2692</v>
      </c>
      <c r="B129" s="7" t="s">
        <v>2693</v>
      </c>
      <c r="C129" s="8">
        <v>1</v>
      </c>
      <c r="D129" s="9">
        <v>10.65</v>
      </c>
      <c r="E129" s="9">
        <v>10.65</v>
      </c>
      <c r="F129" s="10">
        <v>27.99</v>
      </c>
      <c r="G129" s="9">
        <v>27.99</v>
      </c>
      <c r="H129" s="8" t="s">
        <v>3913</v>
      </c>
      <c r="I129" s="7" t="s">
        <v>3252</v>
      </c>
      <c r="J129" s="11" t="s">
        <v>3242</v>
      </c>
      <c r="K129" s="7" t="s">
        <v>3343</v>
      </c>
      <c r="L129" s="7" t="s">
        <v>3354</v>
      </c>
      <c r="M129" s="12" t="str">
        <f>HYPERLINK("http://slimages.macys.com/is/image/MCY/3787610 ")</f>
        <v xml:space="preserve">http://slimages.macys.com/is/image/MCY/3787610 </v>
      </c>
    </row>
    <row r="130" spans="1:13" ht="15.2" customHeight="1" x14ac:dyDescent="0.2">
      <c r="A130" s="6" t="s">
        <v>2694</v>
      </c>
      <c r="B130" s="7" t="s">
        <v>2695</v>
      </c>
      <c r="C130" s="8">
        <v>2</v>
      </c>
      <c r="D130" s="9">
        <v>10.6</v>
      </c>
      <c r="E130" s="9">
        <v>21.2</v>
      </c>
      <c r="F130" s="10">
        <v>24.99</v>
      </c>
      <c r="G130" s="9">
        <v>49.98</v>
      </c>
      <c r="H130" s="8" t="s">
        <v>3363</v>
      </c>
      <c r="I130" s="7" t="s">
        <v>3364</v>
      </c>
      <c r="J130" s="11" t="s">
        <v>3231</v>
      </c>
      <c r="K130" s="7" t="s">
        <v>3334</v>
      </c>
      <c r="L130" s="7" t="s">
        <v>3324</v>
      </c>
      <c r="M130" s="12" t="str">
        <f>HYPERLINK("http://slimages.macys.com/is/image/MCY/3899669 ")</f>
        <v xml:space="preserve">http://slimages.macys.com/is/image/MCY/3899669 </v>
      </c>
    </row>
    <row r="131" spans="1:13" ht="15.2" customHeight="1" x14ac:dyDescent="0.2">
      <c r="A131" s="6" t="s">
        <v>3361</v>
      </c>
      <c r="B131" s="7" t="s">
        <v>3362</v>
      </c>
      <c r="C131" s="8">
        <v>3</v>
      </c>
      <c r="D131" s="9">
        <v>10.6</v>
      </c>
      <c r="E131" s="9">
        <v>31.8</v>
      </c>
      <c r="F131" s="10">
        <v>24.99</v>
      </c>
      <c r="G131" s="9">
        <v>74.97</v>
      </c>
      <c r="H131" s="8" t="s">
        <v>3363</v>
      </c>
      <c r="I131" s="7" t="s">
        <v>3364</v>
      </c>
      <c r="J131" s="11" t="s">
        <v>3186</v>
      </c>
      <c r="K131" s="7" t="s">
        <v>3334</v>
      </c>
      <c r="L131" s="7" t="s">
        <v>3324</v>
      </c>
      <c r="M131" s="12" t="str">
        <f>HYPERLINK("http://slimages.macys.com/is/image/MCY/3899669 ")</f>
        <v xml:space="preserve">http://slimages.macys.com/is/image/MCY/3899669 </v>
      </c>
    </row>
    <row r="132" spans="1:13" ht="15.2" customHeight="1" x14ac:dyDescent="0.2">
      <c r="A132" s="6" t="s">
        <v>2696</v>
      </c>
      <c r="B132" s="7" t="s">
        <v>2697</v>
      </c>
      <c r="C132" s="8">
        <v>1</v>
      </c>
      <c r="D132" s="9">
        <v>10.5</v>
      </c>
      <c r="E132" s="9">
        <v>10.5</v>
      </c>
      <c r="F132" s="10">
        <v>25.99</v>
      </c>
      <c r="G132" s="9">
        <v>25.99</v>
      </c>
      <c r="H132" s="8" t="s">
        <v>3920</v>
      </c>
      <c r="I132" s="7" t="s">
        <v>3333</v>
      </c>
      <c r="J132" s="11" t="s">
        <v>3204</v>
      </c>
      <c r="K132" s="7" t="s">
        <v>3326</v>
      </c>
      <c r="L132" s="7" t="s">
        <v>3282</v>
      </c>
      <c r="M132" s="12" t="str">
        <f>HYPERLINK("http://slimages.macys.com/is/image/MCY/3773860 ")</f>
        <v xml:space="preserve">http://slimages.macys.com/is/image/MCY/3773860 </v>
      </c>
    </row>
    <row r="133" spans="1:13" ht="15.2" customHeight="1" x14ac:dyDescent="0.2">
      <c r="A133" s="6" t="s">
        <v>2698</v>
      </c>
      <c r="B133" s="7" t="s">
        <v>2699</v>
      </c>
      <c r="C133" s="8">
        <v>1</v>
      </c>
      <c r="D133" s="9">
        <v>10.5</v>
      </c>
      <c r="E133" s="9">
        <v>10.5</v>
      </c>
      <c r="F133" s="10">
        <v>27.99</v>
      </c>
      <c r="G133" s="9">
        <v>27.99</v>
      </c>
      <c r="H133" s="8" t="s">
        <v>3711</v>
      </c>
      <c r="I133" s="7"/>
      <c r="J133" s="11" t="s">
        <v>3242</v>
      </c>
      <c r="K133" s="7" t="s">
        <v>3343</v>
      </c>
      <c r="L133" s="7" t="s">
        <v>3356</v>
      </c>
      <c r="M133" s="12" t="str">
        <f>HYPERLINK("http://slimages.macys.com/is/image/MCY/3910853 ")</f>
        <v xml:space="preserve">http://slimages.macys.com/is/image/MCY/3910853 </v>
      </c>
    </row>
    <row r="134" spans="1:13" ht="15.2" customHeight="1" x14ac:dyDescent="0.2">
      <c r="A134" s="6" t="s">
        <v>2243</v>
      </c>
      <c r="B134" s="7" t="s">
        <v>2244</v>
      </c>
      <c r="C134" s="8">
        <v>1</v>
      </c>
      <c r="D134" s="9">
        <v>10.5</v>
      </c>
      <c r="E134" s="9">
        <v>10.5</v>
      </c>
      <c r="F134" s="10">
        <v>25.99</v>
      </c>
      <c r="G134" s="9">
        <v>25.99</v>
      </c>
      <c r="H134" s="8" t="s">
        <v>3920</v>
      </c>
      <c r="I134" s="7" t="s">
        <v>3257</v>
      </c>
      <c r="J134" s="11" t="s">
        <v>3347</v>
      </c>
      <c r="K134" s="7" t="s">
        <v>3326</v>
      </c>
      <c r="L134" s="7" t="s">
        <v>3282</v>
      </c>
      <c r="M134" s="12" t="str">
        <f>HYPERLINK("http://slimages.macys.com/is/image/MCY/3773860 ")</f>
        <v xml:space="preserve">http://slimages.macys.com/is/image/MCY/3773860 </v>
      </c>
    </row>
    <row r="135" spans="1:13" ht="15.2" customHeight="1" x14ac:dyDescent="0.2">
      <c r="A135" s="6" t="s">
        <v>2700</v>
      </c>
      <c r="B135" s="7" t="s">
        <v>2701</v>
      </c>
      <c r="C135" s="8">
        <v>1</v>
      </c>
      <c r="D135" s="9">
        <v>10.5</v>
      </c>
      <c r="E135" s="9">
        <v>10.5</v>
      </c>
      <c r="F135" s="10">
        <v>25.99</v>
      </c>
      <c r="G135" s="9">
        <v>25.99</v>
      </c>
      <c r="H135" s="8" t="s">
        <v>3920</v>
      </c>
      <c r="I135" s="7" t="s">
        <v>3257</v>
      </c>
      <c r="J135" s="11" t="s">
        <v>3331</v>
      </c>
      <c r="K135" s="7" t="s">
        <v>3326</v>
      </c>
      <c r="L135" s="7" t="s">
        <v>3282</v>
      </c>
      <c r="M135" s="12" t="str">
        <f>HYPERLINK("http://slimages.macys.com/is/image/MCY/3773860 ")</f>
        <v xml:space="preserve">http://slimages.macys.com/is/image/MCY/3773860 </v>
      </c>
    </row>
    <row r="136" spans="1:13" ht="15.2" customHeight="1" x14ac:dyDescent="0.2">
      <c r="A136" s="6" t="s">
        <v>2702</v>
      </c>
      <c r="B136" s="7" t="s">
        <v>2703</v>
      </c>
      <c r="C136" s="8">
        <v>9</v>
      </c>
      <c r="D136" s="9">
        <v>10.5</v>
      </c>
      <c r="E136" s="9">
        <v>94.5</v>
      </c>
      <c r="F136" s="10">
        <v>27.99</v>
      </c>
      <c r="G136" s="9">
        <v>251.91</v>
      </c>
      <c r="H136" s="8" t="s">
        <v>3711</v>
      </c>
      <c r="I136" s="7" t="s">
        <v>3210</v>
      </c>
      <c r="J136" s="11" t="s">
        <v>3186</v>
      </c>
      <c r="K136" s="7" t="s">
        <v>3343</v>
      </c>
      <c r="L136" s="7" t="s">
        <v>3356</v>
      </c>
      <c r="M136" s="12" t="str">
        <f>HYPERLINK("http://slimages.macys.com/is/image/MCY/3910853 ")</f>
        <v xml:space="preserve">http://slimages.macys.com/is/image/MCY/3910853 </v>
      </c>
    </row>
    <row r="137" spans="1:13" ht="15.2" customHeight="1" x14ac:dyDescent="0.2">
      <c r="A137" s="6" t="s">
        <v>2704</v>
      </c>
      <c r="B137" s="7" t="s">
        <v>2705</v>
      </c>
      <c r="C137" s="8">
        <v>1</v>
      </c>
      <c r="D137" s="9">
        <v>10.5</v>
      </c>
      <c r="E137" s="9">
        <v>10.5</v>
      </c>
      <c r="F137" s="10">
        <v>27.99</v>
      </c>
      <c r="G137" s="9">
        <v>27.99</v>
      </c>
      <c r="H137" s="8" t="s">
        <v>3711</v>
      </c>
      <c r="I137" s="7"/>
      <c r="J137" s="11" t="s">
        <v>3202</v>
      </c>
      <c r="K137" s="7" t="s">
        <v>3343</v>
      </c>
      <c r="L137" s="7" t="s">
        <v>3356</v>
      </c>
      <c r="M137" s="12" t="str">
        <f>HYPERLINK("http://slimages.macys.com/is/image/MCY/3910853 ")</f>
        <v xml:space="preserve">http://slimages.macys.com/is/image/MCY/3910853 </v>
      </c>
    </row>
    <row r="138" spans="1:13" ht="15.2" customHeight="1" x14ac:dyDescent="0.2">
      <c r="A138" s="6" t="s">
        <v>2706</v>
      </c>
      <c r="B138" s="7" t="s">
        <v>2707</v>
      </c>
      <c r="C138" s="8">
        <v>4</v>
      </c>
      <c r="D138" s="9">
        <v>10.5</v>
      </c>
      <c r="E138" s="9">
        <v>42</v>
      </c>
      <c r="F138" s="10">
        <v>27.99</v>
      </c>
      <c r="G138" s="9">
        <v>111.96</v>
      </c>
      <c r="H138" s="8" t="s">
        <v>3711</v>
      </c>
      <c r="I138" s="7" t="s">
        <v>3185</v>
      </c>
      <c r="J138" s="11" t="s">
        <v>3220</v>
      </c>
      <c r="K138" s="7" t="s">
        <v>3343</v>
      </c>
      <c r="L138" s="7" t="s">
        <v>3356</v>
      </c>
      <c r="M138" s="12" t="str">
        <f>HYPERLINK("http://slimages.macys.com/is/image/MCY/3910858 ")</f>
        <v xml:space="preserve">http://slimages.macys.com/is/image/MCY/3910858 </v>
      </c>
    </row>
    <row r="139" spans="1:13" ht="15.2" customHeight="1" x14ac:dyDescent="0.2">
      <c r="A139" s="6" t="s">
        <v>2708</v>
      </c>
      <c r="B139" s="7" t="s">
        <v>2709</v>
      </c>
      <c r="C139" s="8">
        <v>1</v>
      </c>
      <c r="D139" s="9">
        <v>10.5</v>
      </c>
      <c r="E139" s="9">
        <v>10.5</v>
      </c>
      <c r="F139" s="10">
        <v>27.99</v>
      </c>
      <c r="G139" s="9">
        <v>27.99</v>
      </c>
      <c r="H139" s="8" t="s">
        <v>3711</v>
      </c>
      <c r="I139" s="7" t="s">
        <v>3390</v>
      </c>
      <c r="J139" s="11" t="s">
        <v>3231</v>
      </c>
      <c r="K139" s="7" t="s">
        <v>3343</v>
      </c>
      <c r="L139" s="7" t="s">
        <v>3356</v>
      </c>
      <c r="M139" s="12" t="str">
        <f>HYPERLINK("http://slimages.macys.com/is/image/MCY/3910858 ")</f>
        <v xml:space="preserve">http://slimages.macys.com/is/image/MCY/3910858 </v>
      </c>
    </row>
    <row r="140" spans="1:13" ht="15.2" customHeight="1" x14ac:dyDescent="0.2">
      <c r="A140" s="6" t="s">
        <v>3918</v>
      </c>
      <c r="B140" s="7" t="s">
        <v>3919</v>
      </c>
      <c r="C140" s="8">
        <v>1</v>
      </c>
      <c r="D140" s="9">
        <v>10.5</v>
      </c>
      <c r="E140" s="9">
        <v>10.5</v>
      </c>
      <c r="F140" s="10">
        <v>27.99</v>
      </c>
      <c r="G140" s="9">
        <v>27.99</v>
      </c>
      <c r="H140" s="8" t="s">
        <v>3711</v>
      </c>
      <c r="I140" s="7" t="s">
        <v>3321</v>
      </c>
      <c r="J140" s="11" t="s">
        <v>3186</v>
      </c>
      <c r="K140" s="7" t="s">
        <v>3343</v>
      </c>
      <c r="L140" s="7" t="s">
        <v>3356</v>
      </c>
      <c r="M140" s="12" t="str">
        <f>HYPERLINK("http://slimages.macys.com/is/image/MCY/3910853 ")</f>
        <v xml:space="preserve">http://slimages.macys.com/is/image/MCY/3910853 </v>
      </c>
    </row>
    <row r="141" spans="1:13" ht="15.2" customHeight="1" x14ac:dyDescent="0.2">
      <c r="A141" s="6" t="s">
        <v>2710</v>
      </c>
      <c r="B141" s="7" t="s">
        <v>2711</v>
      </c>
      <c r="C141" s="8">
        <v>1</v>
      </c>
      <c r="D141" s="9">
        <v>10.5</v>
      </c>
      <c r="E141" s="9">
        <v>10.5</v>
      </c>
      <c r="F141" s="10">
        <v>27.99</v>
      </c>
      <c r="G141" s="9">
        <v>27.99</v>
      </c>
      <c r="H141" s="8" t="s">
        <v>3711</v>
      </c>
      <c r="I141" s="7" t="s">
        <v>3390</v>
      </c>
      <c r="J141" s="11" t="s">
        <v>3242</v>
      </c>
      <c r="K141" s="7" t="s">
        <v>3343</v>
      </c>
      <c r="L141" s="7" t="s">
        <v>3356</v>
      </c>
      <c r="M141" s="12" t="str">
        <f>HYPERLINK("http://slimages.macys.com/is/image/MCY/3910858 ")</f>
        <v xml:space="preserve">http://slimages.macys.com/is/image/MCY/3910858 </v>
      </c>
    </row>
    <row r="142" spans="1:13" ht="15.2" customHeight="1" x14ac:dyDescent="0.2">
      <c r="A142" s="6" t="s">
        <v>2712</v>
      </c>
      <c r="B142" s="7" t="s">
        <v>2713</v>
      </c>
      <c r="C142" s="8">
        <v>1</v>
      </c>
      <c r="D142" s="9">
        <v>10.5</v>
      </c>
      <c r="E142" s="9">
        <v>10.5</v>
      </c>
      <c r="F142" s="10">
        <v>27.99</v>
      </c>
      <c r="G142" s="9">
        <v>27.99</v>
      </c>
      <c r="H142" s="8" t="s">
        <v>3711</v>
      </c>
      <c r="I142" s="7" t="s">
        <v>3321</v>
      </c>
      <c r="J142" s="11" t="s">
        <v>3220</v>
      </c>
      <c r="K142" s="7" t="s">
        <v>3343</v>
      </c>
      <c r="L142" s="7" t="s">
        <v>3356</v>
      </c>
      <c r="M142" s="12" t="str">
        <f>HYPERLINK("http://slimages.macys.com/is/image/MCY/3910858 ")</f>
        <v xml:space="preserve">http://slimages.macys.com/is/image/MCY/3910858 </v>
      </c>
    </row>
    <row r="143" spans="1:13" ht="15.2" customHeight="1" x14ac:dyDescent="0.2">
      <c r="A143" s="6" t="s">
        <v>2714</v>
      </c>
      <c r="B143" s="7" t="s">
        <v>2715</v>
      </c>
      <c r="C143" s="8">
        <v>1</v>
      </c>
      <c r="D143" s="9">
        <v>10.5</v>
      </c>
      <c r="E143" s="9">
        <v>10.5</v>
      </c>
      <c r="F143" s="10">
        <v>27.99</v>
      </c>
      <c r="G143" s="9">
        <v>27.99</v>
      </c>
      <c r="H143" s="8" t="s">
        <v>3711</v>
      </c>
      <c r="I143" s="7" t="s">
        <v>3390</v>
      </c>
      <c r="J143" s="11" t="s">
        <v>3186</v>
      </c>
      <c r="K143" s="7" t="s">
        <v>3343</v>
      </c>
      <c r="L143" s="7" t="s">
        <v>3356</v>
      </c>
      <c r="M143" s="12" t="str">
        <f>HYPERLINK("http://slimages.macys.com/is/image/MCY/3910858 ")</f>
        <v xml:space="preserve">http://slimages.macys.com/is/image/MCY/3910858 </v>
      </c>
    </row>
    <row r="144" spans="1:13" ht="15.2" customHeight="1" x14ac:dyDescent="0.2">
      <c r="A144" s="6" t="s">
        <v>2716</v>
      </c>
      <c r="B144" s="7" t="s">
        <v>2717</v>
      </c>
      <c r="C144" s="8">
        <v>1</v>
      </c>
      <c r="D144" s="9">
        <v>10.5</v>
      </c>
      <c r="E144" s="9">
        <v>10.5</v>
      </c>
      <c r="F144" s="10">
        <v>27.99</v>
      </c>
      <c r="G144" s="9">
        <v>27.99</v>
      </c>
      <c r="H144" s="8" t="s">
        <v>3711</v>
      </c>
      <c r="I144" s="7" t="s">
        <v>3321</v>
      </c>
      <c r="J144" s="11" t="s">
        <v>3220</v>
      </c>
      <c r="K144" s="7" t="s">
        <v>3343</v>
      </c>
      <c r="L144" s="7" t="s">
        <v>3356</v>
      </c>
      <c r="M144" s="12" t="str">
        <f>HYPERLINK("http://slimages.macys.com/is/image/MCY/3910853 ")</f>
        <v xml:space="preserve">http://slimages.macys.com/is/image/MCY/3910853 </v>
      </c>
    </row>
    <row r="145" spans="1:13" ht="15.2" customHeight="1" x14ac:dyDescent="0.2">
      <c r="A145" s="6" t="s">
        <v>3923</v>
      </c>
      <c r="B145" s="7" t="s">
        <v>3924</v>
      </c>
      <c r="C145" s="8">
        <v>1</v>
      </c>
      <c r="D145" s="9">
        <v>10.5</v>
      </c>
      <c r="E145" s="9">
        <v>10.5</v>
      </c>
      <c r="F145" s="10">
        <v>27.99</v>
      </c>
      <c r="G145" s="9">
        <v>27.99</v>
      </c>
      <c r="H145" s="8" t="s">
        <v>3711</v>
      </c>
      <c r="I145" s="7" t="s">
        <v>3321</v>
      </c>
      <c r="J145" s="11" t="s">
        <v>3242</v>
      </c>
      <c r="K145" s="7" t="s">
        <v>3343</v>
      </c>
      <c r="L145" s="7" t="s">
        <v>3356</v>
      </c>
      <c r="M145" s="12" t="str">
        <f>HYPERLINK("http://slimages.macys.com/is/image/MCY/3910858 ")</f>
        <v xml:space="preserve">http://slimages.macys.com/is/image/MCY/3910858 </v>
      </c>
    </row>
    <row r="146" spans="1:13" ht="15.2" customHeight="1" x14ac:dyDescent="0.2">
      <c r="A146" s="6" t="s">
        <v>3709</v>
      </c>
      <c r="B146" s="7" t="s">
        <v>3710</v>
      </c>
      <c r="C146" s="8">
        <v>1</v>
      </c>
      <c r="D146" s="9">
        <v>10.5</v>
      </c>
      <c r="E146" s="9">
        <v>10.5</v>
      </c>
      <c r="F146" s="10">
        <v>27.99</v>
      </c>
      <c r="G146" s="9">
        <v>27.99</v>
      </c>
      <c r="H146" s="8" t="s">
        <v>3711</v>
      </c>
      <c r="I146" s="7" t="s">
        <v>3321</v>
      </c>
      <c r="J146" s="11" t="s">
        <v>3242</v>
      </c>
      <c r="K146" s="7" t="s">
        <v>3343</v>
      </c>
      <c r="L146" s="7" t="s">
        <v>3356</v>
      </c>
      <c r="M146" s="12" t="str">
        <f>HYPERLINK("http://slimages.macys.com/is/image/MCY/3910853 ")</f>
        <v xml:space="preserve">http://slimages.macys.com/is/image/MCY/3910853 </v>
      </c>
    </row>
    <row r="147" spans="1:13" ht="15.2" customHeight="1" x14ac:dyDescent="0.2">
      <c r="A147" s="6" t="s">
        <v>2718</v>
      </c>
      <c r="B147" s="7" t="s">
        <v>2719</v>
      </c>
      <c r="C147" s="8">
        <v>1</v>
      </c>
      <c r="D147" s="9">
        <v>10.49</v>
      </c>
      <c r="E147" s="9">
        <v>10.49</v>
      </c>
      <c r="F147" s="10">
        <v>29.5</v>
      </c>
      <c r="G147" s="9">
        <v>29.5</v>
      </c>
      <c r="H147" s="8" t="s">
        <v>3372</v>
      </c>
      <c r="I147" s="7" t="s">
        <v>3185</v>
      </c>
      <c r="J147" s="11" t="s">
        <v>3231</v>
      </c>
      <c r="K147" s="7" t="s">
        <v>3232</v>
      </c>
      <c r="L147" s="7" t="s">
        <v>3306</v>
      </c>
      <c r="M147" s="12" t="str">
        <f>HYPERLINK("http://slimages.macys.com/is/image/MCY/3789872 ")</f>
        <v xml:space="preserve">http://slimages.macys.com/is/image/MCY/3789872 </v>
      </c>
    </row>
    <row r="148" spans="1:13" ht="15.2" customHeight="1" x14ac:dyDescent="0.2">
      <c r="A148" s="6" t="s">
        <v>3712</v>
      </c>
      <c r="B148" s="7" t="s">
        <v>3713</v>
      </c>
      <c r="C148" s="8">
        <v>1</v>
      </c>
      <c r="D148" s="9">
        <v>10.4</v>
      </c>
      <c r="E148" s="9">
        <v>10.4</v>
      </c>
      <c r="F148" s="10">
        <v>24.99</v>
      </c>
      <c r="G148" s="9">
        <v>24.99</v>
      </c>
      <c r="H148" s="8" t="s">
        <v>3714</v>
      </c>
      <c r="I148" s="7" t="s">
        <v>3386</v>
      </c>
      <c r="J148" s="11" t="s">
        <v>3202</v>
      </c>
      <c r="K148" s="7" t="s">
        <v>3334</v>
      </c>
      <c r="L148" s="7" t="s">
        <v>3324</v>
      </c>
      <c r="M148" s="12" t="str">
        <f>HYPERLINK("http://slimages.macys.com/is/image/MCY/3774116 ")</f>
        <v xml:space="preserve">http://slimages.macys.com/is/image/MCY/3774116 </v>
      </c>
    </row>
    <row r="149" spans="1:13" ht="15.2" customHeight="1" x14ac:dyDescent="0.2">
      <c r="A149" s="6" t="s">
        <v>3373</v>
      </c>
      <c r="B149" s="7" t="s">
        <v>3374</v>
      </c>
      <c r="C149" s="8">
        <v>3</v>
      </c>
      <c r="D149" s="9">
        <v>10.4</v>
      </c>
      <c r="E149" s="9">
        <v>31.2</v>
      </c>
      <c r="F149" s="10">
        <v>24.99</v>
      </c>
      <c r="G149" s="9">
        <v>74.97</v>
      </c>
      <c r="H149" s="8" t="s">
        <v>3375</v>
      </c>
      <c r="I149" s="7" t="s">
        <v>3364</v>
      </c>
      <c r="J149" s="11" t="s">
        <v>3220</v>
      </c>
      <c r="K149" s="7" t="s">
        <v>3334</v>
      </c>
      <c r="L149" s="7" t="s">
        <v>3324</v>
      </c>
      <c r="M149" s="12" t="str">
        <f>HYPERLINK("http://slimages.macys.com/is/image/MCY/3883081 ")</f>
        <v xml:space="preserve">http://slimages.macys.com/is/image/MCY/3883081 </v>
      </c>
    </row>
    <row r="150" spans="1:13" ht="15.2" customHeight="1" x14ac:dyDescent="0.2">
      <c r="A150" s="6" t="s">
        <v>2249</v>
      </c>
      <c r="B150" s="7" t="s">
        <v>2250</v>
      </c>
      <c r="C150" s="8">
        <v>3</v>
      </c>
      <c r="D150" s="9">
        <v>10.4</v>
      </c>
      <c r="E150" s="9">
        <v>31.2</v>
      </c>
      <c r="F150" s="10">
        <v>24.99</v>
      </c>
      <c r="G150" s="9">
        <v>74.97</v>
      </c>
      <c r="H150" s="8" t="s">
        <v>3375</v>
      </c>
      <c r="I150" s="7" t="s">
        <v>3364</v>
      </c>
      <c r="J150" s="11" t="s">
        <v>3202</v>
      </c>
      <c r="K150" s="7" t="s">
        <v>3334</v>
      </c>
      <c r="L150" s="7" t="s">
        <v>3324</v>
      </c>
      <c r="M150" s="12" t="str">
        <f>HYPERLINK("http://slimages.macys.com/is/image/MCY/3883081 ")</f>
        <v xml:space="preserve">http://slimages.macys.com/is/image/MCY/3883081 </v>
      </c>
    </row>
    <row r="151" spans="1:13" ht="15.2" customHeight="1" x14ac:dyDescent="0.2">
      <c r="A151" s="6" t="s">
        <v>2720</v>
      </c>
      <c r="B151" s="7" t="s">
        <v>2721</v>
      </c>
      <c r="C151" s="8">
        <v>1</v>
      </c>
      <c r="D151" s="9">
        <v>10.4</v>
      </c>
      <c r="E151" s="9">
        <v>10.4</v>
      </c>
      <c r="F151" s="10">
        <v>24.99</v>
      </c>
      <c r="G151" s="9">
        <v>24.99</v>
      </c>
      <c r="H151" s="8" t="s">
        <v>3375</v>
      </c>
      <c r="I151" s="7" t="s">
        <v>3191</v>
      </c>
      <c r="J151" s="11" t="s">
        <v>3202</v>
      </c>
      <c r="K151" s="7" t="s">
        <v>3334</v>
      </c>
      <c r="L151" s="7" t="s">
        <v>3324</v>
      </c>
      <c r="M151" s="12" t="str">
        <f>HYPERLINK("http://slimages.macys.com/is/image/MCY/3883081 ")</f>
        <v xml:space="preserve">http://slimages.macys.com/is/image/MCY/3883081 </v>
      </c>
    </row>
    <row r="152" spans="1:13" ht="15.2" customHeight="1" x14ac:dyDescent="0.2">
      <c r="A152" s="6" t="s">
        <v>2722</v>
      </c>
      <c r="B152" s="7" t="s">
        <v>2723</v>
      </c>
      <c r="C152" s="8">
        <v>1</v>
      </c>
      <c r="D152" s="9">
        <v>10</v>
      </c>
      <c r="E152" s="9">
        <v>10</v>
      </c>
      <c r="F152" s="10">
        <v>24.99</v>
      </c>
      <c r="G152" s="9">
        <v>24.99</v>
      </c>
      <c r="H152" s="8" t="s">
        <v>3380</v>
      </c>
      <c r="I152" s="7" t="s">
        <v>3382</v>
      </c>
      <c r="J152" s="11" t="s">
        <v>3186</v>
      </c>
      <c r="K152" s="7" t="s">
        <v>3343</v>
      </c>
      <c r="L152" s="7" t="s">
        <v>3371</v>
      </c>
      <c r="M152" s="12" t="str">
        <f>HYPERLINK("http://slimages.macys.com/is/image/MCY/3931167 ")</f>
        <v xml:space="preserve">http://slimages.macys.com/is/image/MCY/3931167 </v>
      </c>
    </row>
    <row r="153" spans="1:13" ht="15.2" customHeight="1" x14ac:dyDescent="0.2">
      <c r="A153" s="6" t="s">
        <v>2390</v>
      </c>
      <c r="B153" s="7" t="s">
        <v>2391</v>
      </c>
      <c r="C153" s="8">
        <v>1</v>
      </c>
      <c r="D153" s="9">
        <v>10</v>
      </c>
      <c r="E153" s="9">
        <v>10</v>
      </c>
      <c r="F153" s="10">
        <v>24.99</v>
      </c>
      <c r="G153" s="9">
        <v>24.99</v>
      </c>
      <c r="H153" s="8" t="s">
        <v>3380</v>
      </c>
      <c r="I153" s="7" t="s">
        <v>3382</v>
      </c>
      <c r="J153" s="11" t="s">
        <v>3220</v>
      </c>
      <c r="K153" s="7" t="s">
        <v>3343</v>
      </c>
      <c r="L153" s="7" t="s">
        <v>3371</v>
      </c>
      <c r="M153" s="12" t="str">
        <f>HYPERLINK("http://slimages.macys.com/is/image/MCY/3931167 ")</f>
        <v xml:space="preserve">http://slimages.macys.com/is/image/MCY/3931167 </v>
      </c>
    </row>
    <row r="154" spans="1:13" ht="15.2" customHeight="1" x14ac:dyDescent="0.2">
      <c r="A154" s="6" t="s">
        <v>2724</v>
      </c>
      <c r="B154" s="7" t="s">
        <v>2725</v>
      </c>
      <c r="C154" s="8">
        <v>1</v>
      </c>
      <c r="D154" s="9">
        <v>10</v>
      </c>
      <c r="E154" s="9">
        <v>10</v>
      </c>
      <c r="F154" s="10">
        <v>24.99</v>
      </c>
      <c r="G154" s="9">
        <v>24.99</v>
      </c>
      <c r="H154" s="8">
        <v>57482</v>
      </c>
      <c r="I154" s="7" t="s">
        <v>3321</v>
      </c>
      <c r="J154" s="11" t="s">
        <v>3202</v>
      </c>
      <c r="K154" s="7" t="s">
        <v>3343</v>
      </c>
      <c r="L154" s="7" t="s">
        <v>3367</v>
      </c>
      <c r="M154" s="12" t="str">
        <f>HYPERLINK("http://slimages.macys.com/is/image/MCY/3107583 ")</f>
        <v xml:space="preserve">http://slimages.macys.com/is/image/MCY/3107583 </v>
      </c>
    </row>
    <row r="155" spans="1:13" ht="15.2" customHeight="1" x14ac:dyDescent="0.2">
      <c r="A155" s="6" t="s">
        <v>2726</v>
      </c>
      <c r="B155" s="7" t="s">
        <v>2727</v>
      </c>
      <c r="C155" s="8">
        <v>1</v>
      </c>
      <c r="D155" s="9">
        <v>10</v>
      </c>
      <c r="E155" s="9">
        <v>10</v>
      </c>
      <c r="F155" s="10">
        <v>24.99</v>
      </c>
      <c r="G155" s="9">
        <v>24.99</v>
      </c>
      <c r="H155" s="8" t="s">
        <v>3380</v>
      </c>
      <c r="I155" s="7" t="s">
        <v>3185</v>
      </c>
      <c r="J155" s="11" t="s">
        <v>3231</v>
      </c>
      <c r="K155" s="7" t="s">
        <v>3343</v>
      </c>
      <c r="L155" s="7" t="s">
        <v>3371</v>
      </c>
      <c r="M155" s="12" t="str">
        <f>HYPERLINK("http://slimages.macys.com/is/image/MCY/3931167 ")</f>
        <v xml:space="preserve">http://slimages.macys.com/is/image/MCY/3931167 </v>
      </c>
    </row>
    <row r="156" spans="1:13" ht="15.2" customHeight="1" x14ac:dyDescent="0.2">
      <c r="A156" s="6" t="s">
        <v>3929</v>
      </c>
      <c r="B156" s="7" t="s">
        <v>3930</v>
      </c>
      <c r="C156" s="8">
        <v>1</v>
      </c>
      <c r="D156" s="9">
        <v>10</v>
      </c>
      <c r="E156" s="9">
        <v>10</v>
      </c>
      <c r="F156" s="10">
        <v>24.99</v>
      </c>
      <c r="G156" s="9">
        <v>24.99</v>
      </c>
      <c r="H156" s="8" t="s">
        <v>3380</v>
      </c>
      <c r="I156" s="7" t="s">
        <v>3185</v>
      </c>
      <c r="J156" s="11" t="s">
        <v>3186</v>
      </c>
      <c r="K156" s="7" t="s">
        <v>3343</v>
      </c>
      <c r="L156" s="7" t="s">
        <v>3371</v>
      </c>
      <c r="M156" s="12" t="str">
        <f>HYPERLINK("http://slimages.macys.com/is/image/MCY/3931167 ")</f>
        <v xml:space="preserve">http://slimages.macys.com/is/image/MCY/3931167 </v>
      </c>
    </row>
    <row r="157" spans="1:13" ht="15.2" customHeight="1" x14ac:dyDescent="0.2">
      <c r="A157" s="6" t="s">
        <v>2728</v>
      </c>
      <c r="B157" s="7" t="s">
        <v>2729</v>
      </c>
      <c r="C157" s="8">
        <v>1</v>
      </c>
      <c r="D157" s="9">
        <v>9.25</v>
      </c>
      <c r="E157" s="9">
        <v>9.25</v>
      </c>
      <c r="F157" s="10">
        <v>19.989999999999998</v>
      </c>
      <c r="G157" s="9">
        <v>19.989999999999998</v>
      </c>
      <c r="H157" s="8">
        <v>60427717</v>
      </c>
      <c r="I157" s="7" t="s">
        <v>3214</v>
      </c>
      <c r="J157" s="11" t="s">
        <v>3231</v>
      </c>
      <c r="K157" s="7" t="s">
        <v>3334</v>
      </c>
      <c r="L157" s="7" t="s">
        <v>3368</v>
      </c>
      <c r="M157" s="12" t="str">
        <f>HYPERLINK("http://slimages.macys.com/is/image/MCY/3503053 ")</f>
        <v xml:space="preserve">http://slimages.macys.com/is/image/MCY/3503053 </v>
      </c>
    </row>
    <row r="158" spans="1:13" ht="15.2" customHeight="1" x14ac:dyDescent="0.2">
      <c r="A158" s="6" t="s">
        <v>2730</v>
      </c>
      <c r="B158" s="7" t="s">
        <v>2731</v>
      </c>
      <c r="C158" s="8">
        <v>1</v>
      </c>
      <c r="D158" s="9">
        <v>9.24</v>
      </c>
      <c r="E158" s="9">
        <v>9.24</v>
      </c>
      <c r="F158" s="10">
        <v>21.99</v>
      </c>
      <c r="G158" s="9">
        <v>21.99</v>
      </c>
      <c r="H158" s="8" t="s">
        <v>3932</v>
      </c>
      <c r="I158" s="7" t="s">
        <v>3185</v>
      </c>
      <c r="J158" s="11" t="s">
        <v>3202</v>
      </c>
      <c r="K158" s="7" t="s">
        <v>3300</v>
      </c>
      <c r="L158" s="7" t="s">
        <v>3301</v>
      </c>
      <c r="M158" s="12" t="str">
        <f>HYPERLINK("http://slimages.macys.com/is/image/MCY/3738496 ")</f>
        <v xml:space="preserve">http://slimages.macys.com/is/image/MCY/3738496 </v>
      </c>
    </row>
    <row r="159" spans="1:13" ht="15.2" customHeight="1" x14ac:dyDescent="0.2">
      <c r="A159" s="6" t="s">
        <v>2732</v>
      </c>
      <c r="B159" s="7" t="s">
        <v>2733</v>
      </c>
      <c r="C159" s="8">
        <v>1</v>
      </c>
      <c r="D159" s="9">
        <v>9.2200000000000006</v>
      </c>
      <c r="E159" s="9">
        <v>9.2200000000000006</v>
      </c>
      <c r="F159" s="10">
        <v>21.99</v>
      </c>
      <c r="G159" s="9">
        <v>21.99</v>
      </c>
      <c r="H159" s="8" t="s">
        <v>4090</v>
      </c>
      <c r="I159" s="7" t="s">
        <v>3216</v>
      </c>
      <c r="J159" s="11" t="s">
        <v>3202</v>
      </c>
      <c r="K159" s="7" t="s">
        <v>3300</v>
      </c>
      <c r="L159" s="7" t="s">
        <v>3301</v>
      </c>
      <c r="M159" s="12" t="str">
        <f>HYPERLINK("http://slimages.macys.com/is/image/MCY/3857708 ")</f>
        <v xml:space="preserve">http://slimages.macys.com/is/image/MCY/3857708 </v>
      </c>
    </row>
    <row r="160" spans="1:13" ht="15.2" customHeight="1" x14ac:dyDescent="0.2">
      <c r="A160" s="6" t="s">
        <v>2734</v>
      </c>
      <c r="B160" s="7" t="s">
        <v>2735</v>
      </c>
      <c r="C160" s="8">
        <v>1</v>
      </c>
      <c r="D160" s="9">
        <v>9.2200000000000006</v>
      </c>
      <c r="E160" s="9">
        <v>9.2200000000000006</v>
      </c>
      <c r="F160" s="10">
        <v>21.99</v>
      </c>
      <c r="G160" s="9">
        <v>21.99</v>
      </c>
      <c r="H160" s="8" t="s">
        <v>3397</v>
      </c>
      <c r="I160" s="7" t="s">
        <v>3216</v>
      </c>
      <c r="J160" s="11" t="s">
        <v>3202</v>
      </c>
      <c r="K160" s="7" t="s">
        <v>3300</v>
      </c>
      <c r="L160" s="7" t="s">
        <v>3301</v>
      </c>
      <c r="M160" s="12" t="str">
        <f>HYPERLINK("http://slimages.macys.com/is/image/MCY/3857710 ")</f>
        <v xml:space="preserve">http://slimages.macys.com/is/image/MCY/3857710 </v>
      </c>
    </row>
    <row r="161" spans="1:13" ht="15.2" customHeight="1" x14ac:dyDescent="0.2">
      <c r="A161" s="6" t="s">
        <v>2254</v>
      </c>
      <c r="B161" s="7" t="s">
        <v>2255</v>
      </c>
      <c r="C161" s="8">
        <v>1</v>
      </c>
      <c r="D161" s="9">
        <v>9.2200000000000006</v>
      </c>
      <c r="E161" s="9">
        <v>9.2200000000000006</v>
      </c>
      <c r="F161" s="10">
        <v>21.99</v>
      </c>
      <c r="G161" s="9">
        <v>21.99</v>
      </c>
      <c r="H161" s="8" t="s">
        <v>3395</v>
      </c>
      <c r="I161" s="7" t="s">
        <v>3396</v>
      </c>
      <c r="J161" s="11" t="s">
        <v>3186</v>
      </c>
      <c r="K161" s="7" t="s">
        <v>3300</v>
      </c>
      <c r="L161" s="7" t="s">
        <v>3301</v>
      </c>
      <c r="M161" s="12" t="str">
        <f>HYPERLINK("http://slimages.macys.com/is/image/MCY/3857709 ")</f>
        <v xml:space="preserve">http://slimages.macys.com/is/image/MCY/3857709 </v>
      </c>
    </row>
    <row r="162" spans="1:13" ht="15.2" customHeight="1" x14ac:dyDescent="0.2">
      <c r="A162" s="6" t="s">
        <v>2736</v>
      </c>
      <c r="B162" s="7" t="s">
        <v>2737</v>
      </c>
      <c r="C162" s="8">
        <v>1</v>
      </c>
      <c r="D162" s="9">
        <v>9.2200000000000006</v>
      </c>
      <c r="E162" s="9">
        <v>9.2200000000000006</v>
      </c>
      <c r="F162" s="10">
        <v>21.99</v>
      </c>
      <c r="G162" s="9">
        <v>21.99</v>
      </c>
      <c r="H162" s="8" t="s">
        <v>3398</v>
      </c>
      <c r="I162" s="7" t="s">
        <v>3185</v>
      </c>
      <c r="J162" s="11" t="s">
        <v>3236</v>
      </c>
      <c r="K162" s="7" t="s">
        <v>3300</v>
      </c>
      <c r="L162" s="7" t="s">
        <v>3301</v>
      </c>
      <c r="M162" s="12" t="str">
        <f>HYPERLINK("http://slimages.macys.com/is/image/MCY/3857694 ")</f>
        <v xml:space="preserve">http://slimages.macys.com/is/image/MCY/3857694 </v>
      </c>
    </row>
    <row r="163" spans="1:13" ht="15.2" customHeight="1" x14ac:dyDescent="0.2">
      <c r="A163" s="6" t="s">
        <v>2738</v>
      </c>
      <c r="B163" s="7" t="s">
        <v>2739</v>
      </c>
      <c r="C163" s="8">
        <v>1</v>
      </c>
      <c r="D163" s="9">
        <v>9.2200000000000006</v>
      </c>
      <c r="E163" s="9">
        <v>9.2200000000000006</v>
      </c>
      <c r="F163" s="10">
        <v>21.99</v>
      </c>
      <c r="G163" s="9">
        <v>21.99</v>
      </c>
      <c r="H163" s="8" t="s">
        <v>3937</v>
      </c>
      <c r="I163" s="7" t="s">
        <v>3185</v>
      </c>
      <c r="J163" s="11" t="s">
        <v>3202</v>
      </c>
      <c r="K163" s="7" t="s">
        <v>3300</v>
      </c>
      <c r="L163" s="7" t="s">
        <v>3301</v>
      </c>
      <c r="M163" s="12" t="str">
        <f>HYPERLINK("http://slimages.macys.com/is/image/MCY/3870610 ")</f>
        <v xml:space="preserve">http://slimages.macys.com/is/image/MCY/3870610 </v>
      </c>
    </row>
    <row r="164" spans="1:13" ht="15.2" customHeight="1" x14ac:dyDescent="0.2">
      <c r="A164" s="6" t="s">
        <v>4091</v>
      </c>
      <c r="B164" s="7" t="s">
        <v>4092</v>
      </c>
      <c r="C164" s="8">
        <v>2</v>
      </c>
      <c r="D164" s="9">
        <v>9.2200000000000006</v>
      </c>
      <c r="E164" s="9">
        <v>18.440000000000001</v>
      </c>
      <c r="F164" s="10">
        <v>21.99</v>
      </c>
      <c r="G164" s="9">
        <v>43.98</v>
      </c>
      <c r="H164" s="8" t="s">
        <v>3398</v>
      </c>
      <c r="I164" s="7" t="s">
        <v>3185</v>
      </c>
      <c r="J164" s="11" t="s">
        <v>3231</v>
      </c>
      <c r="K164" s="7" t="s">
        <v>3300</v>
      </c>
      <c r="L164" s="7" t="s">
        <v>3301</v>
      </c>
      <c r="M164" s="12" t="str">
        <f>HYPERLINK("http://slimages.macys.com/is/image/MCY/3857694 ")</f>
        <v xml:space="preserve">http://slimages.macys.com/is/image/MCY/3857694 </v>
      </c>
    </row>
    <row r="165" spans="1:13" ht="15.2" customHeight="1" x14ac:dyDescent="0.2">
      <c r="A165" s="6" t="s">
        <v>2256</v>
      </c>
      <c r="B165" s="7" t="s">
        <v>2257</v>
      </c>
      <c r="C165" s="8">
        <v>2</v>
      </c>
      <c r="D165" s="9">
        <v>9.2200000000000006</v>
      </c>
      <c r="E165" s="9">
        <v>18.440000000000001</v>
      </c>
      <c r="F165" s="10">
        <v>21.99</v>
      </c>
      <c r="G165" s="9">
        <v>43.98</v>
      </c>
      <c r="H165" s="8" t="s">
        <v>3937</v>
      </c>
      <c r="I165" s="7" t="s">
        <v>3185</v>
      </c>
      <c r="J165" s="11" t="s">
        <v>3186</v>
      </c>
      <c r="K165" s="7" t="s">
        <v>3300</v>
      </c>
      <c r="L165" s="7" t="s">
        <v>3301</v>
      </c>
      <c r="M165" s="12" t="str">
        <f>HYPERLINK("http://slimages.macys.com/is/image/MCY/3870610 ")</f>
        <v xml:space="preserve">http://slimages.macys.com/is/image/MCY/3870610 </v>
      </c>
    </row>
    <row r="166" spans="1:13" ht="15.2" customHeight="1" x14ac:dyDescent="0.2">
      <c r="A166" s="6" t="s">
        <v>2252</v>
      </c>
      <c r="B166" s="7" t="s">
        <v>2253</v>
      </c>
      <c r="C166" s="8">
        <v>1</v>
      </c>
      <c r="D166" s="9">
        <v>9.2200000000000006</v>
      </c>
      <c r="E166" s="9">
        <v>9.2200000000000006</v>
      </c>
      <c r="F166" s="10">
        <v>21.99</v>
      </c>
      <c r="G166" s="9">
        <v>21.99</v>
      </c>
      <c r="H166" s="8" t="s">
        <v>3395</v>
      </c>
      <c r="I166" s="7" t="s">
        <v>3396</v>
      </c>
      <c r="J166" s="11" t="s">
        <v>3220</v>
      </c>
      <c r="K166" s="7" t="s">
        <v>3300</v>
      </c>
      <c r="L166" s="7" t="s">
        <v>3301</v>
      </c>
      <c r="M166" s="12" t="str">
        <f>HYPERLINK("http://slimages.macys.com/is/image/MCY/3857709 ")</f>
        <v xml:space="preserve">http://slimages.macys.com/is/image/MCY/3857709 </v>
      </c>
    </row>
    <row r="167" spans="1:13" ht="15.2" customHeight="1" x14ac:dyDescent="0.2">
      <c r="A167" s="6" t="s">
        <v>2258</v>
      </c>
      <c r="B167" s="7" t="s">
        <v>2259</v>
      </c>
      <c r="C167" s="8">
        <v>2</v>
      </c>
      <c r="D167" s="9">
        <v>9.2200000000000006</v>
      </c>
      <c r="E167" s="9">
        <v>18.440000000000001</v>
      </c>
      <c r="F167" s="10">
        <v>21.99</v>
      </c>
      <c r="G167" s="9">
        <v>43.98</v>
      </c>
      <c r="H167" s="8" t="s">
        <v>3398</v>
      </c>
      <c r="I167" s="7" t="s">
        <v>3185</v>
      </c>
      <c r="J167" s="11" t="s">
        <v>3186</v>
      </c>
      <c r="K167" s="7" t="s">
        <v>3300</v>
      </c>
      <c r="L167" s="7" t="s">
        <v>3301</v>
      </c>
      <c r="M167" s="12" t="str">
        <f>HYPERLINK("http://slimages.macys.com/is/image/MCY/3857694 ")</f>
        <v xml:space="preserve">http://slimages.macys.com/is/image/MCY/3857694 </v>
      </c>
    </row>
    <row r="168" spans="1:13" ht="15.2" customHeight="1" x14ac:dyDescent="0.2">
      <c r="A168" s="6" t="s">
        <v>2740</v>
      </c>
      <c r="B168" s="7" t="s">
        <v>4084</v>
      </c>
      <c r="C168" s="8">
        <v>1</v>
      </c>
      <c r="D168" s="9">
        <v>9.2200000000000006</v>
      </c>
      <c r="E168" s="9">
        <v>9.2200000000000006</v>
      </c>
      <c r="F168" s="10">
        <v>21.99</v>
      </c>
      <c r="G168" s="9">
        <v>21.99</v>
      </c>
      <c r="H168" s="8" t="s">
        <v>3937</v>
      </c>
      <c r="I168" s="7" t="s">
        <v>3185</v>
      </c>
      <c r="J168" s="11" t="s">
        <v>3220</v>
      </c>
      <c r="K168" s="7" t="s">
        <v>3300</v>
      </c>
      <c r="L168" s="7" t="s">
        <v>3301</v>
      </c>
      <c r="M168" s="12" t="str">
        <f>HYPERLINK("http://slimages.macys.com/is/image/MCY/3870610 ")</f>
        <v xml:space="preserve">http://slimages.macys.com/is/image/MCY/3870610 </v>
      </c>
    </row>
    <row r="169" spans="1:13" ht="15.2" customHeight="1" x14ac:dyDescent="0.2">
      <c r="A169" s="6" t="s">
        <v>2741</v>
      </c>
      <c r="B169" s="7" t="s">
        <v>2742</v>
      </c>
      <c r="C169" s="8">
        <v>1</v>
      </c>
      <c r="D169" s="9">
        <v>9.2200000000000006</v>
      </c>
      <c r="E169" s="9">
        <v>9.2200000000000006</v>
      </c>
      <c r="F169" s="10">
        <v>21.99</v>
      </c>
      <c r="G169" s="9">
        <v>21.99</v>
      </c>
      <c r="H169" s="8" t="s">
        <v>3397</v>
      </c>
      <c r="I169" s="7" t="s">
        <v>3216</v>
      </c>
      <c r="J169" s="11" t="s">
        <v>3231</v>
      </c>
      <c r="K169" s="7" t="s">
        <v>3300</v>
      </c>
      <c r="L169" s="7" t="s">
        <v>3301</v>
      </c>
      <c r="M169" s="12" t="str">
        <f>HYPERLINK("http://slimages.macys.com/is/image/MCY/3857710 ")</f>
        <v xml:space="preserve">http://slimages.macys.com/is/image/MCY/3857710 </v>
      </c>
    </row>
    <row r="170" spans="1:13" ht="15.2" customHeight="1" x14ac:dyDescent="0.2">
      <c r="A170" s="6" t="s">
        <v>2401</v>
      </c>
      <c r="B170" s="7" t="s">
        <v>2402</v>
      </c>
      <c r="C170" s="8">
        <v>1</v>
      </c>
      <c r="D170" s="9">
        <v>9.1999999999999993</v>
      </c>
      <c r="E170" s="9">
        <v>9.1999999999999993</v>
      </c>
      <c r="F170" s="10">
        <v>21.99</v>
      </c>
      <c r="G170" s="9">
        <v>21.99</v>
      </c>
      <c r="H170" s="8" t="s">
        <v>3399</v>
      </c>
      <c r="I170" s="7" t="s">
        <v>3182</v>
      </c>
      <c r="J170" s="11" t="s">
        <v>3202</v>
      </c>
      <c r="K170" s="7" t="s">
        <v>3300</v>
      </c>
      <c r="L170" s="7" t="s">
        <v>3301</v>
      </c>
      <c r="M170" s="12" t="str">
        <f>HYPERLINK("http://slimages.macys.com/is/image/MCY/3857655 ")</f>
        <v xml:space="preserve">http://slimages.macys.com/is/image/MCY/3857655 </v>
      </c>
    </row>
    <row r="171" spans="1:13" ht="15.2" customHeight="1" x14ac:dyDescent="0.2">
      <c r="A171" s="6" t="s">
        <v>2743</v>
      </c>
      <c r="B171" s="7" t="s">
        <v>2744</v>
      </c>
      <c r="C171" s="8">
        <v>1</v>
      </c>
      <c r="D171" s="9">
        <v>9.15</v>
      </c>
      <c r="E171" s="9">
        <v>9.15</v>
      </c>
      <c r="F171" s="10">
        <v>21.99</v>
      </c>
      <c r="G171" s="9">
        <v>21.99</v>
      </c>
      <c r="H171" s="8" t="s">
        <v>2745</v>
      </c>
      <c r="I171" s="7" t="s">
        <v>3263</v>
      </c>
      <c r="J171" s="11" t="s">
        <v>3242</v>
      </c>
      <c r="K171" s="7" t="s">
        <v>3300</v>
      </c>
      <c r="L171" s="7" t="s">
        <v>3301</v>
      </c>
      <c r="M171" s="12" t="str">
        <f>HYPERLINK("http://slimages.macys.com/is/image/MCY/3536154 ")</f>
        <v xml:space="preserve">http://slimages.macys.com/is/image/MCY/3536154 </v>
      </c>
    </row>
    <row r="172" spans="1:13" ht="15.2" customHeight="1" x14ac:dyDescent="0.2">
      <c r="A172" s="6" t="s">
        <v>2746</v>
      </c>
      <c r="B172" s="7" t="s">
        <v>2747</v>
      </c>
      <c r="C172" s="8">
        <v>1</v>
      </c>
      <c r="D172" s="9">
        <v>9.1</v>
      </c>
      <c r="E172" s="9">
        <v>9.1</v>
      </c>
      <c r="F172" s="10">
        <v>19.989999999999998</v>
      </c>
      <c r="G172" s="9">
        <v>19.989999999999998</v>
      </c>
      <c r="H172" s="8" t="s">
        <v>4102</v>
      </c>
      <c r="I172" s="7" t="s">
        <v>3207</v>
      </c>
      <c r="J172" s="11" t="s">
        <v>3220</v>
      </c>
      <c r="K172" s="7" t="s">
        <v>3343</v>
      </c>
      <c r="L172" s="7" t="s">
        <v>3384</v>
      </c>
      <c r="M172" s="12" t="str">
        <f>HYPERLINK("http://slimages.macys.com/is/image/MCY/3853655 ")</f>
        <v xml:space="preserve">http://slimages.macys.com/is/image/MCY/3853655 </v>
      </c>
    </row>
    <row r="173" spans="1:13" ht="15.2" customHeight="1" x14ac:dyDescent="0.2">
      <c r="A173" s="6" t="s">
        <v>3940</v>
      </c>
      <c r="B173" s="7" t="s">
        <v>3941</v>
      </c>
      <c r="C173" s="8">
        <v>1</v>
      </c>
      <c r="D173" s="9">
        <v>9.1</v>
      </c>
      <c r="E173" s="9">
        <v>9.1</v>
      </c>
      <c r="F173" s="10">
        <v>19.989999999999998</v>
      </c>
      <c r="G173" s="9">
        <v>19.989999999999998</v>
      </c>
      <c r="H173" s="8" t="s">
        <v>3942</v>
      </c>
      <c r="I173" s="7" t="s">
        <v>3339</v>
      </c>
      <c r="J173" s="11" t="s">
        <v>3242</v>
      </c>
      <c r="K173" s="7" t="s">
        <v>3343</v>
      </c>
      <c r="L173" s="7" t="s">
        <v>3384</v>
      </c>
      <c r="M173" s="12" t="str">
        <f>HYPERLINK("http://slimages.macys.com/is/image/MCY/3820944 ")</f>
        <v xml:space="preserve">http://slimages.macys.com/is/image/MCY/3820944 </v>
      </c>
    </row>
    <row r="174" spans="1:13" ht="15.2" customHeight="1" x14ac:dyDescent="0.2">
      <c r="A174" s="6" t="s">
        <v>2748</v>
      </c>
      <c r="B174" s="7" t="s">
        <v>2749</v>
      </c>
      <c r="C174" s="8">
        <v>2</v>
      </c>
      <c r="D174" s="9">
        <v>9.1</v>
      </c>
      <c r="E174" s="9">
        <v>18.2</v>
      </c>
      <c r="F174" s="10">
        <v>19.989999999999998</v>
      </c>
      <c r="G174" s="9">
        <v>39.979999999999997</v>
      </c>
      <c r="H174" s="8" t="s">
        <v>3942</v>
      </c>
      <c r="I174" s="7" t="s">
        <v>3257</v>
      </c>
      <c r="J174" s="11" t="s">
        <v>3220</v>
      </c>
      <c r="K174" s="7" t="s">
        <v>3343</v>
      </c>
      <c r="L174" s="7" t="s">
        <v>3384</v>
      </c>
      <c r="M174" s="12" t="str">
        <f>HYPERLINK("http://slimages.macys.com/is/image/MCY/3820944 ")</f>
        <v xml:space="preserve">http://slimages.macys.com/is/image/MCY/3820944 </v>
      </c>
    </row>
    <row r="175" spans="1:13" ht="15.2" customHeight="1" x14ac:dyDescent="0.2">
      <c r="A175" s="6" t="s">
        <v>2750</v>
      </c>
      <c r="B175" s="7" t="s">
        <v>2751</v>
      </c>
      <c r="C175" s="8">
        <v>1</v>
      </c>
      <c r="D175" s="9">
        <v>9.1</v>
      </c>
      <c r="E175" s="9">
        <v>9.1</v>
      </c>
      <c r="F175" s="10">
        <v>19.989999999999998</v>
      </c>
      <c r="G175" s="9">
        <v>19.989999999999998</v>
      </c>
      <c r="H175" s="8" t="s">
        <v>3942</v>
      </c>
      <c r="I175" s="7" t="s">
        <v>3257</v>
      </c>
      <c r="J175" s="11" t="s">
        <v>3242</v>
      </c>
      <c r="K175" s="7" t="s">
        <v>3343</v>
      </c>
      <c r="L175" s="7" t="s">
        <v>3384</v>
      </c>
      <c r="M175" s="12" t="str">
        <f>HYPERLINK("http://slimages.macys.com/is/image/MCY/3820944 ")</f>
        <v xml:space="preserve">http://slimages.macys.com/is/image/MCY/3820944 </v>
      </c>
    </row>
    <row r="176" spans="1:13" ht="15.2" customHeight="1" x14ac:dyDescent="0.2">
      <c r="A176" s="6" t="s">
        <v>2752</v>
      </c>
      <c r="B176" s="7" t="s">
        <v>2753</v>
      </c>
      <c r="C176" s="8">
        <v>3</v>
      </c>
      <c r="D176" s="9">
        <v>9.1</v>
      </c>
      <c r="E176" s="9">
        <v>27.3</v>
      </c>
      <c r="F176" s="10">
        <v>19.989999999999998</v>
      </c>
      <c r="G176" s="9">
        <v>59.97</v>
      </c>
      <c r="H176" s="8" t="s">
        <v>4102</v>
      </c>
      <c r="I176" s="7" t="s">
        <v>3257</v>
      </c>
      <c r="J176" s="11" t="s">
        <v>3186</v>
      </c>
      <c r="K176" s="7" t="s">
        <v>3343</v>
      </c>
      <c r="L176" s="7" t="s">
        <v>3384</v>
      </c>
      <c r="M176" s="12" t="str">
        <f>HYPERLINK("http://slimages.macys.com/is/image/MCY/3853655 ")</f>
        <v xml:space="preserve">http://slimages.macys.com/is/image/MCY/3853655 </v>
      </c>
    </row>
    <row r="177" spans="1:13" ht="15.2" customHeight="1" x14ac:dyDescent="0.2">
      <c r="A177" s="6" t="s">
        <v>2754</v>
      </c>
      <c r="B177" s="7" t="s">
        <v>2755</v>
      </c>
      <c r="C177" s="8">
        <v>1</v>
      </c>
      <c r="D177" s="9">
        <v>9.1</v>
      </c>
      <c r="E177" s="9">
        <v>9.1</v>
      </c>
      <c r="F177" s="10">
        <v>19.989999999999998</v>
      </c>
      <c r="G177" s="9">
        <v>19.989999999999998</v>
      </c>
      <c r="H177" s="8" t="s">
        <v>3942</v>
      </c>
      <c r="I177" s="7" t="s">
        <v>3339</v>
      </c>
      <c r="J177" s="11" t="s">
        <v>3220</v>
      </c>
      <c r="K177" s="7" t="s">
        <v>3343</v>
      </c>
      <c r="L177" s="7" t="s">
        <v>3384</v>
      </c>
      <c r="M177" s="12" t="str">
        <f>HYPERLINK("http://slimages.macys.com/is/image/MCY/3820944 ")</f>
        <v xml:space="preserve">http://slimages.macys.com/is/image/MCY/3820944 </v>
      </c>
    </row>
    <row r="178" spans="1:13" ht="15.2" customHeight="1" x14ac:dyDescent="0.2">
      <c r="A178" s="6" t="s">
        <v>2756</v>
      </c>
      <c r="B178" s="7" t="s">
        <v>2757</v>
      </c>
      <c r="C178" s="8">
        <v>1</v>
      </c>
      <c r="D178" s="9">
        <v>9.1</v>
      </c>
      <c r="E178" s="9">
        <v>9.1</v>
      </c>
      <c r="F178" s="10">
        <v>19.989999999999998</v>
      </c>
      <c r="G178" s="9">
        <v>19.989999999999998</v>
      </c>
      <c r="H178" s="8" t="s">
        <v>3401</v>
      </c>
      <c r="I178" s="7" t="s">
        <v>3926</v>
      </c>
      <c r="J178" s="11" t="s">
        <v>3242</v>
      </c>
      <c r="K178" s="7" t="s">
        <v>3343</v>
      </c>
      <c r="L178" s="7" t="s">
        <v>3384</v>
      </c>
      <c r="M178" s="12" t="str">
        <f>HYPERLINK("http://slimages.macys.com/is/image/MCY/3820952 ")</f>
        <v xml:space="preserve">http://slimages.macys.com/is/image/MCY/3820952 </v>
      </c>
    </row>
    <row r="179" spans="1:13" ht="15.2" customHeight="1" x14ac:dyDescent="0.2">
      <c r="A179" s="6" t="s">
        <v>2758</v>
      </c>
      <c r="B179" s="7" t="s">
        <v>2759</v>
      </c>
      <c r="C179" s="8">
        <v>1</v>
      </c>
      <c r="D179" s="9">
        <v>9.1</v>
      </c>
      <c r="E179" s="9">
        <v>9.1</v>
      </c>
      <c r="F179" s="10">
        <v>19.989999999999998</v>
      </c>
      <c r="G179" s="9">
        <v>19.989999999999998</v>
      </c>
      <c r="H179" s="8" t="s">
        <v>4102</v>
      </c>
      <c r="I179" s="7" t="s">
        <v>3185</v>
      </c>
      <c r="J179" s="11" t="s">
        <v>3242</v>
      </c>
      <c r="K179" s="7" t="s">
        <v>3343</v>
      </c>
      <c r="L179" s="7" t="s">
        <v>3384</v>
      </c>
      <c r="M179" s="12" t="str">
        <f>HYPERLINK("http://slimages.macys.com/is/image/MCY/3853655 ")</f>
        <v xml:space="preserve">http://slimages.macys.com/is/image/MCY/3853655 </v>
      </c>
    </row>
    <row r="180" spans="1:13" ht="15.2" customHeight="1" x14ac:dyDescent="0.2">
      <c r="A180" s="6" t="s">
        <v>2760</v>
      </c>
      <c r="B180" s="7" t="s">
        <v>2761</v>
      </c>
      <c r="C180" s="8">
        <v>1</v>
      </c>
      <c r="D180" s="9">
        <v>9.1</v>
      </c>
      <c r="E180" s="9">
        <v>9.1</v>
      </c>
      <c r="F180" s="10">
        <v>19.989999999999998</v>
      </c>
      <c r="G180" s="9">
        <v>19.989999999999998</v>
      </c>
      <c r="H180" s="8" t="s">
        <v>4102</v>
      </c>
      <c r="I180" s="7" t="s">
        <v>3185</v>
      </c>
      <c r="J180" s="11" t="s">
        <v>3186</v>
      </c>
      <c r="K180" s="7" t="s">
        <v>3343</v>
      </c>
      <c r="L180" s="7" t="s">
        <v>3384</v>
      </c>
      <c r="M180" s="12" t="str">
        <f>HYPERLINK("http://slimages.macys.com/is/image/MCY/3853655 ")</f>
        <v xml:space="preserve">http://slimages.macys.com/is/image/MCY/3853655 </v>
      </c>
    </row>
    <row r="181" spans="1:13" ht="15.2" customHeight="1" x14ac:dyDescent="0.2">
      <c r="A181" s="6" t="s">
        <v>2762</v>
      </c>
      <c r="B181" s="7" t="s">
        <v>2763</v>
      </c>
      <c r="C181" s="8">
        <v>2</v>
      </c>
      <c r="D181" s="9">
        <v>9.1</v>
      </c>
      <c r="E181" s="9">
        <v>18.2</v>
      </c>
      <c r="F181" s="10">
        <v>19.989999999999998</v>
      </c>
      <c r="G181" s="9">
        <v>39.979999999999997</v>
      </c>
      <c r="H181" s="8" t="s">
        <v>4102</v>
      </c>
      <c r="I181" s="7" t="s">
        <v>3257</v>
      </c>
      <c r="J181" s="11" t="s">
        <v>3242</v>
      </c>
      <c r="K181" s="7" t="s">
        <v>3343</v>
      </c>
      <c r="L181" s="7" t="s">
        <v>3384</v>
      </c>
      <c r="M181" s="12" t="str">
        <f>HYPERLINK("http://slimages.macys.com/is/image/MCY/3853655 ")</f>
        <v xml:space="preserve">http://slimages.macys.com/is/image/MCY/3853655 </v>
      </c>
    </row>
    <row r="182" spans="1:13" ht="15.2" customHeight="1" x14ac:dyDescent="0.2">
      <c r="A182" s="6" t="s">
        <v>4282</v>
      </c>
      <c r="B182" s="7" t="s">
        <v>4283</v>
      </c>
      <c r="C182" s="8">
        <v>2</v>
      </c>
      <c r="D182" s="9">
        <v>9</v>
      </c>
      <c r="E182" s="9">
        <v>18</v>
      </c>
      <c r="F182" s="10">
        <v>19.989999999999998</v>
      </c>
      <c r="G182" s="9">
        <v>39.979999999999997</v>
      </c>
      <c r="H182" s="8" t="s">
        <v>4281</v>
      </c>
      <c r="I182" s="7" t="s">
        <v>3288</v>
      </c>
      <c r="J182" s="11" t="s">
        <v>3186</v>
      </c>
      <c r="K182" s="7" t="s">
        <v>3323</v>
      </c>
      <c r="L182" s="7" t="s">
        <v>3717</v>
      </c>
      <c r="M182" s="12" t="str">
        <f>HYPERLINK("http://slimages.macys.com/is/image/MCY/3207034 ")</f>
        <v xml:space="preserve">http://slimages.macys.com/is/image/MCY/3207034 </v>
      </c>
    </row>
    <row r="183" spans="1:13" ht="15.2" customHeight="1" x14ac:dyDescent="0.2">
      <c r="A183" s="6" t="s">
        <v>2764</v>
      </c>
      <c r="B183" s="7" t="s">
        <v>2765</v>
      </c>
      <c r="C183" s="8">
        <v>1</v>
      </c>
      <c r="D183" s="9">
        <v>9</v>
      </c>
      <c r="E183" s="9">
        <v>9</v>
      </c>
      <c r="F183" s="10">
        <v>19.989999999999998</v>
      </c>
      <c r="G183" s="9">
        <v>19.989999999999998</v>
      </c>
      <c r="H183" s="8" t="s">
        <v>4281</v>
      </c>
      <c r="I183" s="7" t="s">
        <v>3288</v>
      </c>
      <c r="J183" s="11" t="s">
        <v>3220</v>
      </c>
      <c r="K183" s="7" t="s">
        <v>3323</v>
      </c>
      <c r="L183" s="7" t="s">
        <v>3717</v>
      </c>
      <c r="M183" s="12" t="str">
        <f>HYPERLINK("http://slimages.macys.com/is/image/MCY/3207034 ")</f>
        <v xml:space="preserve">http://slimages.macys.com/is/image/MCY/3207034 </v>
      </c>
    </row>
    <row r="184" spans="1:13" ht="15.2" customHeight="1" x14ac:dyDescent="0.2">
      <c r="A184" s="6" t="s">
        <v>2766</v>
      </c>
      <c r="B184" s="7" t="s">
        <v>2767</v>
      </c>
      <c r="C184" s="8">
        <v>1</v>
      </c>
      <c r="D184" s="9">
        <v>9</v>
      </c>
      <c r="E184" s="9">
        <v>9</v>
      </c>
      <c r="F184" s="10">
        <v>19.989999999999998</v>
      </c>
      <c r="G184" s="9">
        <v>19.989999999999998</v>
      </c>
      <c r="H184" s="8" t="s">
        <v>3403</v>
      </c>
      <c r="I184" s="7" t="s">
        <v>3182</v>
      </c>
      <c r="J184" s="11" t="s">
        <v>3220</v>
      </c>
      <c r="K184" s="7" t="s">
        <v>3323</v>
      </c>
      <c r="L184" s="7" t="s">
        <v>3356</v>
      </c>
      <c r="M184" s="12" t="str">
        <f>HYPERLINK("http://slimages.macys.com/is/image/MCY/3890895 ")</f>
        <v xml:space="preserve">http://slimages.macys.com/is/image/MCY/3890895 </v>
      </c>
    </row>
    <row r="185" spans="1:13" ht="15.2" customHeight="1" x14ac:dyDescent="0.2">
      <c r="A185" s="6" t="s">
        <v>2768</v>
      </c>
      <c r="B185" s="7" t="s">
        <v>2769</v>
      </c>
      <c r="C185" s="8">
        <v>1</v>
      </c>
      <c r="D185" s="9">
        <v>8.75</v>
      </c>
      <c r="E185" s="9">
        <v>8.75</v>
      </c>
      <c r="F185" s="10">
        <v>19.989999999999998</v>
      </c>
      <c r="G185" s="9">
        <v>19.989999999999998</v>
      </c>
      <c r="H185" s="8">
        <v>60433875</v>
      </c>
      <c r="I185" s="7" t="s">
        <v>3185</v>
      </c>
      <c r="J185" s="11" t="s">
        <v>3186</v>
      </c>
      <c r="K185" s="7" t="s">
        <v>3343</v>
      </c>
      <c r="L185" s="7" t="s">
        <v>3368</v>
      </c>
      <c r="M185" s="12" t="str">
        <f>HYPERLINK("http://slimages.macys.com/is/image/MCY/3915853 ")</f>
        <v xml:space="preserve">http://slimages.macys.com/is/image/MCY/3915853 </v>
      </c>
    </row>
    <row r="186" spans="1:13" ht="15.2" customHeight="1" x14ac:dyDescent="0.2">
      <c r="A186" s="6" t="s">
        <v>2770</v>
      </c>
      <c r="B186" s="7" t="s">
        <v>2771</v>
      </c>
      <c r="C186" s="8">
        <v>3</v>
      </c>
      <c r="D186" s="9">
        <v>8.75</v>
      </c>
      <c r="E186" s="9">
        <v>26.25</v>
      </c>
      <c r="F186" s="10">
        <v>19.989999999999998</v>
      </c>
      <c r="G186" s="9">
        <v>59.97</v>
      </c>
      <c r="H186" s="8">
        <v>60433875</v>
      </c>
      <c r="I186" s="7" t="s">
        <v>3246</v>
      </c>
      <c r="J186" s="11" t="s">
        <v>3231</v>
      </c>
      <c r="K186" s="7" t="s">
        <v>3343</v>
      </c>
      <c r="L186" s="7" t="s">
        <v>3368</v>
      </c>
      <c r="M186" s="12" t="str">
        <f>HYPERLINK("http://slimages.macys.com/is/image/MCY/3915853 ")</f>
        <v xml:space="preserve">http://slimages.macys.com/is/image/MCY/3915853 </v>
      </c>
    </row>
    <row r="187" spans="1:13" ht="15.2" customHeight="1" x14ac:dyDescent="0.2">
      <c r="A187" s="6" t="s">
        <v>2772</v>
      </c>
      <c r="B187" s="7" t="s">
        <v>2773</v>
      </c>
      <c r="C187" s="8">
        <v>1</v>
      </c>
      <c r="D187" s="9">
        <v>8.75</v>
      </c>
      <c r="E187" s="9">
        <v>8.75</v>
      </c>
      <c r="F187" s="10">
        <v>19.989999999999998</v>
      </c>
      <c r="G187" s="9">
        <v>19.989999999999998</v>
      </c>
      <c r="H187" s="8">
        <v>60433875</v>
      </c>
      <c r="I187" s="7" t="s">
        <v>3246</v>
      </c>
      <c r="J187" s="11" t="s">
        <v>3220</v>
      </c>
      <c r="K187" s="7" t="s">
        <v>3343</v>
      </c>
      <c r="L187" s="7" t="s">
        <v>3368</v>
      </c>
      <c r="M187" s="12" t="str">
        <f>HYPERLINK("http://slimages.macys.com/is/image/MCY/3915853 ")</f>
        <v xml:space="preserve">http://slimages.macys.com/is/image/MCY/3915853 </v>
      </c>
    </row>
    <row r="188" spans="1:13" ht="15.2" customHeight="1" x14ac:dyDescent="0.2">
      <c r="A188" s="6" t="s">
        <v>2774</v>
      </c>
      <c r="B188" s="7" t="s">
        <v>2775</v>
      </c>
      <c r="C188" s="8">
        <v>1</v>
      </c>
      <c r="D188" s="9">
        <v>8.5500000000000007</v>
      </c>
      <c r="E188" s="9">
        <v>8.5500000000000007</v>
      </c>
      <c r="F188" s="10">
        <v>19.989999999999998</v>
      </c>
      <c r="G188" s="9">
        <v>19.989999999999998</v>
      </c>
      <c r="H188" s="8" t="s">
        <v>3948</v>
      </c>
      <c r="I188" s="7"/>
      <c r="J188" s="11" t="s">
        <v>3220</v>
      </c>
      <c r="K188" s="7" t="s">
        <v>3343</v>
      </c>
      <c r="L188" s="7" t="s">
        <v>3367</v>
      </c>
      <c r="M188" s="12" t="str">
        <f>HYPERLINK("http://slimages.macys.com/is/image/MCY/3815102 ")</f>
        <v xml:space="preserve">http://slimages.macys.com/is/image/MCY/3815102 </v>
      </c>
    </row>
    <row r="189" spans="1:13" ht="15.2" customHeight="1" x14ac:dyDescent="0.2">
      <c r="A189" s="6" t="s">
        <v>2776</v>
      </c>
      <c r="B189" s="7" t="s">
        <v>2777</v>
      </c>
      <c r="C189" s="8">
        <v>1</v>
      </c>
      <c r="D189" s="9">
        <v>8.5500000000000007</v>
      </c>
      <c r="E189" s="9">
        <v>8.5500000000000007</v>
      </c>
      <c r="F189" s="10">
        <v>19.989999999999998</v>
      </c>
      <c r="G189" s="9">
        <v>19.989999999999998</v>
      </c>
      <c r="H189" s="8" t="s">
        <v>2778</v>
      </c>
      <c r="I189" s="7" t="s">
        <v>3185</v>
      </c>
      <c r="J189" s="11" t="s">
        <v>3236</v>
      </c>
      <c r="K189" s="7" t="s">
        <v>3343</v>
      </c>
      <c r="L189" s="7" t="s">
        <v>3367</v>
      </c>
      <c r="M189" s="12" t="str">
        <f>HYPERLINK("http://slimages.macys.com/is/image/MCY/3931020 ")</f>
        <v xml:space="preserve">http://slimages.macys.com/is/image/MCY/3931020 </v>
      </c>
    </row>
    <row r="190" spans="1:13" ht="15.2" customHeight="1" x14ac:dyDescent="0.2">
      <c r="A190" s="6" t="s">
        <v>2779</v>
      </c>
      <c r="B190" s="7" t="s">
        <v>2780</v>
      </c>
      <c r="C190" s="8">
        <v>1</v>
      </c>
      <c r="D190" s="9">
        <v>8.5500000000000007</v>
      </c>
      <c r="E190" s="9">
        <v>8.5500000000000007</v>
      </c>
      <c r="F190" s="10">
        <v>19.989999999999998</v>
      </c>
      <c r="G190" s="9">
        <v>19.989999999999998</v>
      </c>
      <c r="H190" s="8" t="s">
        <v>2781</v>
      </c>
      <c r="I190" s="7" t="s">
        <v>3257</v>
      </c>
      <c r="J190" s="11" t="s">
        <v>3202</v>
      </c>
      <c r="K190" s="7" t="s">
        <v>3343</v>
      </c>
      <c r="L190" s="7" t="s">
        <v>3367</v>
      </c>
      <c r="M190" s="12" t="str">
        <f>HYPERLINK("http://slimages.macys.com/is/image/MCY/3853618 ")</f>
        <v xml:space="preserve">http://slimages.macys.com/is/image/MCY/3853618 </v>
      </c>
    </row>
    <row r="191" spans="1:13" ht="15.2" customHeight="1" x14ac:dyDescent="0.2">
      <c r="A191" s="6" t="s">
        <v>2782</v>
      </c>
      <c r="B191" s="7" t="s">
        <v>2783</v>
      </c>
      <c r="C191" s="8">
        <v>1</v>
      </c>
      <c r="D191" s="9">
        <v>8.5500000000000007</v>
      </c>
      <c r="E191" s="9">
        <v>8.5500000000000007</v>
      </c>
      <c r="F191" s="10">
        <v>19.989999999999998</v>
      </c>
      <c r="G191" s="9">
        <v>19.989999999999998</v>
      </c>
      <c r="H191" s="8" t="s">
        <v>2778</v>
      </c>
      <c r="I191" s="7" t="s">
        <v>3182</v>
      </c>
      <c r="J191" s="11" t="s">
        <v>3202</v>
      </c>
      <c r="K191" s="7" t="s">
        <v>3343</v>
      </c>
      <c r="L191" s="7" t="s">
        <v>3367</v>
      </c>
      <c r="M191" s="12" t="str">
        <f>HYPERLINK("http://slimages.macys.com/is/image/MCY/3931020 ")</f>
        <v xml:space="preserve">http://slimages.macys.com/is/image/MCY/3931020 </v>
      </c>
    </row>
    <row r="192" spans="1:13" ht="15.2" customHeight="1" x14ac:dyDescent="0.2">
      <c r="A192" s="6" t="s">
        <v>2784</v>
      </c>
      <c r="B192" s="7" t="s">
        <v>2785</v>
      </c>
      <c r="C192" s="8">
        <v>2</v>
      </c>
      <c r="D192" s="9">
        <v>8.5500000000000007</v>
      </c>
      <c r="E192" s="9">
        <v>17.100000000000001</v>
      </c>
      <c r="F192" s="10">
        <v>19.989999999999998</v>
      </c>
      <c r="G192" s="9">
        <v>39.979999999999997</v>
      </c>
      <c r="H192" s="8" t="s">
        <v>2781</v>
      </c>
      <c r="I192" s="7" t="s">
        <v>3257</v>
      </c>
      <c r="J192" s="11" t="s">
        <v>3220</v>
      </c>
      <c r="K192" s="7" t="s">
        <v>3343</v>
      </c>
      <c r="L192" s="7" t="s">
        <v>3367</v>
      </c>
      <c r="M192" s="12" t="str">
        <f>HYPERLINK("http://slimages.macys.com/is/image/MCY/3853618 ")</f>
        <v xml:space="preserve">http://slimages.macys.com/is/image/MCY/3853618 </v>
      </c>
    </row>
    <row r="193" spans="1:13" ht="15.2" customHeight="1" x14ac:dyDescent="0.2">
      <c r="A193" s="6" t="s">
        <v>2786</v>
      </c>
      <c r="B193" s="7" t="s">
        <v>2787</v>
      </c>
      <c r="C193" s="8">
        <v>1</v>
      </c>
      <c r="D193" s="9">
        <v>8.5</v>
      </c>
      <c r="E193" s="9">
        <v>8.5</v>
      </c>
      <c r="F193" s="10">
        <v>19.989999999999998</v>
      </c>
      <c r="G193" s="9">
        <v>19.989999999999998</v>
      </c>
      <c r="H193" s="8" t="s">
        <v>3417</v>
      </c>
      <c r="I193" s="7" t="s">
        <v>3182</v>
      </c>
      <c r="J193" s="11" t="s">
        <v>3186</v>
      </c>
      <c r="K193" s="7" t="s">
        <v>3323</v>
      </c>
      <c r="L193" s="7" t="s">
        <v>3356</v>
      </c>
      <c r="M193" s="12" t="str">
        <f>HYPERLINK("http://slimages.macys.com/is/image/MCY/3890886 ")</f>
        <v xml:space="preserve">http://slimages.macys.com/is/image/MCY/3890886 </v>
      </c>
    </row>
    <row r="194" spans="1:13" ht="15.2" customHeight="1" x14ac:dyDescent="0.2">
      <c r="A194" s="6" t="s">
        <v>4290</v>
      </c>
      <c r="B194" s="7" t="s">
        <v>4291</v>
      </c>
      <c r="C194" s="8">
        <v>1</v>
      </c>
      <c r="D194" s="9">
        <v>8.5</v>
      </c>
      <c r="E194" s="9">
        <v>8.5</v>
      </c>
      <c r="F194" s="10">
        <v>19.989999999999998</v>
      </c>
      <c r="G194" s="9">
        <v>19.989999999999998</v>
      </c>
      <c r="H194" s="8" t="s">
        <v>3408</v>
      </c>
      <c r="I194" s="7" t="s">
        <v>3214</v>
      </c>
      <c r="J194" s="11" t="s">
        <v>3202</v>
      </c>
      <c r="K194" s="7" t="s">
        <v>3323</v>
      </c>
      <c r="L194" s="7" t="s">
        <v>3356</v>
      </c>
      <c r="M194" s="12" t="str">
        <f>HYPERLINK("http://slimages.macys.com/is/image/MCY/3890900 ")</f>
        <v xml:space="preserve">http://slimages.macys.com/is/image/MCY/3890900 </v>
      </c>
    </row>
    <row r="195" spans="1:13" ht="15.2" customHeight="1" x14ac:dyDescent="0.2">
      <c r="A195" s="6" t="s">
        <v>3959</v>
      </c>
      <c r="B195" s="7" t="s">
        <v>3960</v>
      </c>
      <c r="C195" s="8">
        <v>1</v>
      </c>
      <c r="D195" s="9">
        <v>8.5</v>
      </c>
      <c r="E195" s="9">
        <v>8.5</v>
      </c>
      <c r="F195" s="10">
        <v>19.989999999999998</v>
      </c>
      <c r="G195" s="9">
        <v>19.989999999999998</v>
      </c>
      <c r="H195" s="8" t="s">
        <v>3406</v>
      </c>
      <c r="I195" s="7" t="s">
        <v>3416</v>
      </c>
      <c r="J195" s="11" t="s">
        <v>3231</v>
      </c>
      <c r="K195" s="7" t="s">
        <v>3323</v>
      </c>
      <c r="L195" s="7" t="s">
        <v>3407</v>
      </c>
      <c r="M195" s="12" t="str">
        <f>HYPERLINK("http://slimages.macys.com/is/image/MCY/3910788 ")</f>
        <v xml:space="preserve">http://slimages.macys.com/is/image/MCY/3910788 </v>
      </c>
    </row>
    <row r="196" spans="1:13" ht="15.2" customHeight="1" x14ac:dyDescent="0.2">
      <c r="A196" s="6" t="s">
        <v>2788</v>
      </c>
      <c r="B196" s="7" t="s">
        <v>2789</v>
      </c>
      <c r="C196" s="8">
        <v>1</v>
      </c>
      <c r="D196" s="9">
        <v>8.5</v>
      </c>
      <c r="E196" s="9">
        <v>8.5</v>
      </c>
      <c r="F196" s="10">
        <v>19.989999999999998</v>
      </c>
      <c r="G196" s="9">
        <v>19.989999999999998</v>
      </c>
      <c r="H196" s="8">
        <v>60444549</v>
      </c>
      <c r="I196" s="7" t="s">
        <v>3182</v>
      </c>
      <c r="J196" s="11" t="s">
        <v>3231</v>
      </c>
      <c r="K196" s="7" t="s">
        <v>3334</v>
      </c>
      <c r="L196" s="7" t="s">
        <v>3368</v>
      </c>
      <c r="M196" s="12" t="str">
        <f>HYPERLINK("http://slimages.macys.com/is/image/MCY/3857783 ")</f>
        <v xml:space="preserve">http://slimages.macys.com/is/image/MCY/3857783 </v>
      </c>
    </row>
    <row r="197" spans="1:13" ht="15.2" customHeight="1" x14ac:dyDescent="0.2">
      <c r="A197" s="6" t="s">
        <v>2790</v>
      </c>
      <c r="B197" s="7" t="s">
        <v>2791</v>
      </c>
      <c r="C197" s="8">
        <v>1</v>
      </c>
      <c r="D197" s="9">
        <v>8.5</v>
      </c>
      <c r="E197" s="9">
        <v>8.5</v>
      </c>
      <c r="F197" s="10">
        <v>19.989999999999998</v>
      </c>
      <c r="G197" s="9">
        <v>19.989999999999998</v>
      </c>
      <c r="H197" s="8" t="s">
        <v>3417</v>
      </c>
      <c r="I197" s="7" t="s">
        <v>3182</v>
      </c>
      <c r="J197" s="11" t="s">
        <v>3220</v>
      </c>
      <c r="K197" s="7" t="s">
        <v>3323</v>
      </c>
      <c r="L197" s="7" t="s">
        <v>3356</v>
      </c>
      <c r="M197" s="12" t="str">
        <f>HYPERLINK("http://slimages.macys.com/is/image/MCY/3890886 ")</f>
        <v xml:space="preserve">http://slimages.macys.com/is/image/MCY/3890886 </v>
      </c>
    </row>
    <row r="198" spans="1:13" ht="15.2" customHeight="1" x14ac:dyDescent="0.2">
      <c r="A198" s="6" t="s">
        <v>2792</v>
      </c>
      <c r="B198" s="7" t="s">
        <v>2793</v>
      </c>
      <c r="C198" s="8">
        <v>1</v>
      </c>
      <c r="D198" s="9">
        <v>8.5</v>
      </c>
      <c r="E198" s="9">
        <v>8.5</v>
      </c>
      <c r="F198" s="10">
        <v>19.989999999999998</v>
      </c>
      <c r="G198" s="9">
        <v>19.989999999999998</v>
      </c>
      <c r="H198" s="8" t="s">
        <v>3417</v>
      </c>
      <c r="I198" s="7" t="s">
        <v>3182</v>
      </c>
      <c r="J198" s="11" t="s">
        <v>3202</v>
      </c>
      <c r="K198" s="7" t="s">
        <v>3323</v>
      </c>
      <c r="L198" s="7" t="s">
        <v>3356</v>
      </c>
      <c r="M198" s="12" t="str">
        <f>HYPERLINK("http://slimages.macys.com/is/image/MCY/3890886 ")</f>
        <v xml:space="preserve">http://slimages.macys.com/is/image/MCY/3890886 </v>
      </c>
    </row>
    <row r="199" spans="1:13" ht="15.2" customHeight="1" x14ac:dyDescent="0.2">
      <c r="A199" s="6" t="s">
        <v>3949</v>
      </c>
      <c r="B199" s="7" t="s">
        <v>3950</v>
      </c>
      <c r="C199" s="8">
        <v>1</v>
      </c>
      <c r="D199" s="9">
        <v>8.5</v>
      </c>
      <c r="E199" s="9">
        <v>8.5</v>
      </c>
      <c r="F199" s="10">
        <v>19.989999999999998</v>
      </c>
      <c r="G199" s="9">
        <v>19.989999999999998</v>
      </c>
      <c r="H199" s="8" t="s">
        <v>3406</v>
      </c>
      <c r="I199" s="7" t="s">
        <v>3386</v>
      </c>
      <c r="J199" s="11" t="s">
        <v>3231</v>
      </c>
      <c r="K199" s="7" t="s">
        <v>3323</v>
      </c>
      <c r="L199" s="7" t="s">
        <v>3407</v>
      </c>
      <c r="M199" s="12" t="str">
        <f>HYPERLINK("http://slimages.macys.com/is/image/MCY/3910788 ")</f>
        <v xml:space="preserve">http://slimages.macys.com/is/image/MCY/3910788 </v>
      </c>
    </row>
    <row r="200" spans="1:13" ht="15.2" customHeight="1" x14ac:dyDescent="0.2">
      <c r="A200" s="6" t="s">
        <v>2794</v>
      </c>
      <c r="B200" s="7" t="s">
        <v>2795</v>
      </c>
      <c r="C200" s="8">
        <v>1</v>
      </c>
      <c r="D200" s="9">
        <v>8.5</v>
      </c>
      <c r="E200" s="9">
        <v>8.5</v>
      </c>
      <c r="F200" s="10">
        <v>19.989999999999998</v>
      </c>
      <c r="G200" s="9">
        <v>19.989999999999998</v>
      </c>
      <c r="H200" s="8" t="s">
        <v>3417</v>
      </c>
      <c r="I200" s="7" t="s">
        <v>3182</v>
      </c>
      <c r="J200" s="11" t="s">
        <v>3231</v>
      </c>
      <c r="K200" s="7" t="s">
        <v>3323</v>
      </c>
      <c r="L200" s="7" t="s">
        <v>3356</v>
      </c>
      <c r="M200" s="12" t="str">
        <f>HYPERLINK("http://slimages.macys.com/is/image/MCY/3890886 ")</f>
        <v xml:space="preserve">http://slimages.macys.com/is/image/MCY/3890886 </v>
      </c>
    </row>
    <row r="201" spans="1:13" ht="15.2" customHeight="1" x14ac:dyDescent="0.2">
      <c r="A201" s="6" t="s">
        <v>3414</v>
      </c>
      <c r="B201" s="7" t="s">
        <v>3415</v>
      </c>
      <c r="C201" s="8">
        <v>3</v>
      </c>
      <c r="D201" s="9">
        <v>8.5</v>
      </c>
      <c r="E201" s="9">
        <v>25.5</v>
      </c>
      <c r="F201" s="10">
        <v>19.989999999999998</v>
      </c>
      <c r="G201" s="9">
        <v>59.97</v>
      </c>
      <c r="H201" s="8" t="s">
        <v>3406</v>
      </c>
      <c r="I201" s="7" t="s">
        <v>3416</v>
      </c>
      <c r="J201" s="11" t="s">
        <v>3202</v>
      </c>
      <c r="K201" s="7" t="s">
        <v>3323</v>
      </c>
      <c r="L201" s="7" t="s">
        <v>3407</v>
      </c>
      <c r="M201" s="12" t="str">
        <f>HYPERLINK("http://slimages.macys.com/is/image/MCY/3910788 ")</f>
        <v xml:space="preserve">http://slimages.macys.com/is/image/MCY/3910788 </v>
      </c>
    </row>
    <row r="202" spans="1:13" ht="15.2" customHeight="1" x14ac:dyDescent="0.2">
      <c r="A202" s="6" t="s">
        <v>4285</v>
      </c>
      <c r="B202" s="7" t="s">
        <v>4286</v>
      </c>
      <c r="C202" s="8">
        <v>2</v>
      </c>
      <c r="D202" s="9">
        <v>8.5</v>
      </c>
      <c r="E202" s="9">
        <v>17</v>
      </c>
      <c r="F202" s="10">
        <v>19.989999999999998</v>
      </c>
      <c r="G202" s="9">
        <v>39.979999999999997</v>
      </c>
      <c r="H202" s="8" t="s">
        <v>3406</v>
      </c>
      <c r="I202" s="7" t="s">
        <v>3185</v>
      </c>
      <c r="J202" s="11" t="s">
        <v>3202</v>
      </c>
      <c r="K202" s="7" t="s">
        <v>3323</v>
      </c>
      <c r="L202" s="7" t="s">
        <v>3407</v>
      </c>
      <c r="M202" s="12" t="str">
        <f>HYPERLINK("http://slimages.macys.com/is/image/MCY/3910788 ")</f>
        <v xml:space="preserve">http://slimages.macys.com/is/image/MCY/3910788 </v>
      </c>
    </row>
    <row r="203" spans="1:13" ht="15.2" customHeight="1" x14ac:dyDescent="0.2">
      <c r="A203" s="6" t="s">
        <v>2796</v>
      </c>
      <c r="B203" s="7" t="s">
        <v>2797</v>
      </c>
      <c r="C203" s="8">
        <v>1</v>
      </c>
      <c r="D203" s="9">
        <v>8.5</v>
      </c>
      <c r="E203" s="9">
        <v>8.5</v>
      </c>
      <c r="F203" s="10">
        <v>19.989999999999998</v>
      </c>
      <c r="G203" s="9">
        <v>19.989999999999998</v>
      </c>
      <c r="H203" s="8">
        <v>60433871</v>
      </c>
      <c r="I203" s="7" t="s">
        <v>3339</v>
      </c>
      <c r="J203" s="11" t="s">
        <v>3242</v>
      </c>
      <c r="K203" s="7" t="s">
        <v>3343</v>
      </c>
      <c r="L203" s="7" t="s">
        <v>3368</v>
      </c>
      <c r="M203" s="12" t="str">
        <f>HYPERLINK("http://slimages.macys.com/is/image/MCY/3910875 ")</f>
        <v xml:space="preserve">http://slimages.macys.com/is/image/MCY/3910875 </v>
      </c>
    </row>
    <row r="204" spans="1:13" ht="15.2" customHeight="1" x14ac:dyDescent="0.2">
      <c r="A204" s="6" t="s">
        <v>2798</v>
      </c>
      <c r="B204" s="7" t="s">
        <v>2799</v>
      </c>
      <c r="C204" s="8">
        <v>2</v>
      </c>
      <c r="D204" s="9">
        <v>8.5</v>
      </c>
      <c r="E204" s="9">
        <v>17</v>
      </c>
      <c r="F204" s="10">
        <v>19.989999999999998</v>
      </c>
      <c r="G204" s="9">
        <v>39.979999999999997</v>
      </c>
      <c r="H204" s="8">
        <v>60433871</v>
      </c>
      <c r="I204" s="7" t="s">
        <v>3234</v>
      </c>
      <c r="J204" s="11" t="s">
        <v>3202</v>
      </c>
      <c r="K204" s="7" t="s">
        <v>3343</v>
      </c>
      <c r="L204" s="7" t="s">
        <v>3368</v>
      </c>
      <c r="M204" s="12" t="str">
        <f>HYPERLINK("http://slimages.macys.com/is/image/MCY/3910875 ")</f>
        <v xml:space="preserve">http://slimages.macys.com/is/image/MCY/3910875 </v>
      </c>
    </row>
    <row r="205" spans="1:13" ht="15.2" customHeight="1" x14ac:dyDescent="0.2">
      <c r="A205" s="6" t="s">
        <v>2800</v>
      </c>
      <c r="B205" s="7" t="s">
        <v>2801</v>
      </c>
      <c r="C205" s="8">
        <v>2</v>
      </c>
      <c r="D205" s="9">
        <v>8.5</v>
      </c>
      <c r="E205" s="9">
        <v>17</v>
      </c>
      <c r="F205" s="10">
        <v>19.989999999999998</v>
      </c>
      <c r="G205" s="9">
        <v>39.979999999999997</v>
      </c>
      <c r="H205" s="8">
        <v>60433871</v>
      </c>
      <c r="I205" s="7" t="s">
        <v>3234</v>
      </c>
      <c r="J205" s="11" t="s">
        <v>3231</v>
      </c>
      <c r="K205" s="7" t="s">
        <v>3343</v>
      </c>
      <c r="L205" s="7" t="s">
        <v>3368</v>
      </c>
      <c r="M205" s="12" t="str">
        <f>HYPERLINK("http://slimages.macys.com/is/image/MCY/3910875 ")</f>
        <v xml:space="preserve">http://slimages.macys.com/is/image/MCY/3910875 </v>
      </c>
    </row>
    <row r="206" spans="1:13" ht="15.2" customHeight="1" x14ac:dyDescent="0.2">
      <c r="A206" s="6" t="s">
        <v>3951</v>
      </c>
      <c r="B206" s="7" t="s">
        <v>3952</v>
      </c>
      <c r="C206" s="8">
        <v>2</v>
      </c>
      <c r="D206" s="9">
        <v>8.5</v>
      </c>
      <c r="E206" s="9">
        <v>17</v>
      </c>
      <c r="F206" s="10">
        <v>19.989999999999998</v>
      </c>
      <c r="G206" s="9">
        <v>39.979999999999997</v>
      </c>
      <c r="H206" s="8" t="s">
        <v>3408</v>
      </c>
      <c r="I206" s="7" t="s">
        <v>3321</v>
      </c>
      <c r="J206" s="11" t="s">
        <v>3220</v>
      </c>
      <c r="K206" s="7" t="s">
        <v>3323</v>
      </c>
      <c r="L206" s="7" t="s">
        <v>3356</v>
      </c>
      <c r="M206" s="12" t="str">
        <f>HYPERLINK("http://slimages.macys.com/is/image/MCY/3890900 ")</f>
        <v xml:space="preserve">http://slimages.macys.com/is/image/MCY/3890900 </v>
      </c>
    </row>
    <row r="207" spans="1:13" ht="15.2" customHeight="1" x14ac:dyDescent="0.2">
      <c r="A207" s="6" t="s">
        <v>2802</v>
      </c>
      <c r="B207" s="7" t="s">
        <v>2803</v>
      </c>
      <c r="C207" s="8">
        <v>1</v>
      </c>
      <c r="D207" s="9">
        <v>8.4499999999999993</v>
      </c>
      <c r="E207" s="9">
        <v>8.4499999999999993</v>
      </c>
      <c r="F207" s="10">
        <v>19.989999999999998</v>
      </c>
      <c r="G207" s="9">
        <v>19.989999999999998</v>
      </c>
      <c r="H207" s="8" t="s">
        <v>2804</v>
      </c>
      <c r="I207" s="7" t="s">
        <v>3246</v>
      </c>
      <c r="J207" s="11" t="s">
        <v>3220</v>
      </c>
      <c r="K207" s="7" t="s">
        <v>3323</v>
      </c>
      <c r="L207" s="7" t="s">
        <v>3407</v>
      </c>
      <c r="M207" s="12" t="str">
        <f>HYPERLINK("http://slimages.macys.com/is/image/MCY/3947122 ")</f>
        <v xml:space="preserve">http://slimages.macys.com/is/image/MCY/3947122 </v>
      </c>
    </row>
    <row r="208" spans="1:13" ht="15.2" customHeight="1" x14ac:dyDescent="0.2">
      <c r="A208" s="6" t="s">
        <v>4119</v>
      </c>
      <c r="B208" s="7" t="s">
        <v>4120</v>
      </c>
      <c r="C208" s="8">
        <v>1</v>
      </c>
      <c r="D208" s="9">
        <v>8.1</v>
      </c>
      <c r="E208" s="9">
        <v>8.1</v>
      </c>
      <c r="F208" s="10">
        <v>19.989999999999998</v>
      </c>
      <c r="G208" s="9">
        <v>19.989999999999998</v>
      </c>
      <c r="H208" s="8">
        <v>60449400</v>
      </c>
      <c r="I208" s="7" t="s">
        <v>3234</v>
      </c>
      <c r="J208" s="11" t="s">
        <v>3231</v>
      </c>
      <c r="K208" s="7" t="s">
        <v>3334</v>
      </c>
      <c r="L208" s="7" t="s">
        <v>3368</v>
      </c>
      <c r="M208" s="12" t="str">
        <f>HYPERLINK("http://slimages.macys.com/is/image/MCY/3940667 ")</f>
        <v xml:space="preserve">http://slimages.macys.com/is/image/MCY/3940667 </v>
      </c>
    </row>
    <row r="209" spans="1:13" ht="15.2" customHeight="1" x14ac:dyDescent="0.2">
      <c r="A209" s="6" t="s">
        <v>3419</v>
      </c>
      <c r="B209" s="7" t="s">
        <v>3420</v>
      </c>
      <c r="C209" s="8">
        <v>1</v>
      </c>
      <c r="D209" s="9">
        <v>8.1</v>
      </c>
      <c r="E209" s="9">
        <v>8.1</v>
      </c>
      <c r="F209" s="10">
        <v>19.989999999999998</v>
      </c>
      <c r="G209" s="9">
        <v>19.989999999999998</v>
      </c>
      <c r="H209" s="8">
        <v>60449400</v>
      </c>
      <c r="I209" s="7" t="s">
        <v>3185</v>
      </c>
      <c r="J209" s="11" t="s">
        <v>3186</v>
      </c>
      <c r="K209" s="7" t="s">
        <v>3334</v>
      </c>
      <c r="L209" s="7" t="s">
        <v>3368</v>
      </c>
      <c r="M209" s="12" t="str">
        <f>HYPERLINK("http://slimages.macys.com/is/image/MCY/3940667 ")</f>
        <v xml:space="preserve">http://slimages.macys.com/is/image/MCY/3940667 </v>
      </c>
    </row>
    <row r="210" spans="1:13" ht="15.2" customHeight="1" x14ac:dyDescent="0.2">
      <c r="A210" s="6" t="s">
        <v>3422</v>
      </c>
      <c r="B210" s="7" t="s">
        <v>3423</v>
      </c>
      <c r="C210" s="8">
        <v>1</v>
      </c>
      <c r="D210" s="9">
        <v>8.1</v>
      </c>
      <c r="E210" s="9">
        <v>8.1</v>
      </c>
      <c r="F210" s="10">
        <v>19.989999999999998</v>
      </c>
      <c r="G210" s="9">
        <v>19.989999999999998</v>
      </c>
      <c r="H210" s="8">
        <v>60449400</v>
      </c>
      <c r="I210" s="7" t="s">
        <v>3185</v>
      </c>
      <c r="J210" s="11" t="s">
        <v>3242</v>
      </c>
      <c r="K210" s="7" t="s">
        <v>3334</v>
      </c>
      <c r="L210" s="7" t="s">
        <v>3368</v>
      </c>
      <c r="M210" s="12" t="str">
        <f>HYPERLINK("http://slimages.macys.com/is/image/MCY/3940667 ")</f>
        <v xml:space="preserve">http://slimages.macys.com/is/image/MCY/3940667 </v>
      </c>
    </row>
    <row r="211" spans="1:13" ht="15.2" customHeight="1" x14ac:dyDescent="0.2">
      <c r="A211" s="6" t="s">
        <v>2805</v>
      </c>
      <c r="B211" s="7" t="s">
        <v>2806</v>
      </c>
      <c r="C211" s="8">
        <v>1</v>
      </c>
      <c r="D211" s="9">
        <v>8</v>
      </c>
      <c r="E211" s="9">
        <v>8</v>
      </c>
      <c r="F211" s="10">
        <v>19.989999999999998</v>
      </c>
      <c r="G211" s="9">
        <v>19.989999999999998</v>
      </c>
      <c r="H211" s="8" t="s">
        <v>2807</v>
      </c>
      <c r="I211" s="7" t="s">
        <v>3321</v>
      </c>
      <c r="J211" s="11" t="s">
        <v>3220</v>
      </c>
      <c r="K211" s="7" t="s">
        <v>3387</v>
      </c>
      <c r="L211" s="7" t="s">
        <v>3425</v>
      </c>
      <c r="M211" s="12" t="str">
        <f>HYPERLINK("http://slimages.macys.com/is/image/MCY/3799636 ")</f>
        <v xml:space="preserve">http://slimages.macys.com/is/image/MCY/3799636 </v>
      </c>
    </row>
    <row r="212" spans="1:13" ht="15.2" customHeight="1" x14ac:dyDescent="0.2">
      <c r="A212" s="6" t="s">
        <v>2808</v>
      </c>
      <c r="B212" s="7" t="s">
        <v>2809</v>
      </c>
      <c r="C212" s="8">
        <v>1</v>
      </c>
      <c r="D212" s="9">
        <v>7.85</v>
      </c>
      <c r="E212" s="9">
        <v>7.85</v>
      </c>
      <c r="F212" s="10">
        <v>24.99</v>
      </c>
      <c r="G212" s="9">
        <v>24.99</v>
      </c>
      <c r="H212" s="8" t="s">
        <v>3430</v>
      </c>
      <c r="I212" s="7" t="s">
        <v>3286</v>
      </c>
      <c r="J212" s="11" t="s">
        <v>3202</v>
      </c>
      <c r="K212" s="7" t="s">
        <v>3343</v>
      </c>
      <c r="L212" s="7" t="s">
        <v>3371</v>
      </c>
      <c r="M212" s="12" t="str">
        <f>HYPERLINK("http://slimages.macys.com/is/image/MCY/3853703 ")</f>
        <v xml:space="preserve">http://slimages.macys.com/is/image/MCY/3853703 </v>
      </c>
    </row>
    <row r="213" spans="1:13" ht="15.2" customHeight="1" x14ac:dyDescent="0.2">
      <c r="A213" s="6" t="s">
        <v>2810</v>
      </c>
      <c r="B213" s="7" t="s">
        <v>2811</v>
      </c>
      <c r="C213" s="8">
        <v>2</v>
      </c>
      <c r="D213" s="9">
        <v>7.85</v>
      </c>
      <c r="E213" s="9">
        <v>15.7</v>
      </c>
      <c r="F213" s="10">
        <v>24.99</v>
      </c>
      <c r="G213" s="9">
        <v>49.98</v>
      </c>
      <c r="H213" s="8" t="s">
        <v>3430</v>
      </c>
      <c r="I213" s="7" t="s">
        <v>3286</v>
      </c>
      <c r="J213" s="11" t="s">
        <v>3220</v>
      </c>
      <c r="K213" s="7" t="s">
        <v>3343</v>
      </c>
      <c r="L213" s="7" t="s">
        <v>3371</v>
      </c>
      <c r="M213" s="12" t="str">
        <f>HYPERLINK("http://slimages.macys.com/is/image/MCY/3853703 ")</f>
        <v xml:space="preserve">http://slimages.macys.com/is/image/MCY/3853703 </v>
      </c>
    </row>
    <row r="214" spans="1:13" ht="15.2" customHeight="1" x14ac:dyDescent="0.2">
      <c r="A214" s="6" t="s">
        <v>2812</v>
      </c>
      <c r="B214" s="7" t="s">
        <v>2813</v>
      </c>
      <c r="C214" s="8">
        <v>1</v>
      </c>
      <c r="D214" s="9">
        <v>7.85</v>
      </c>
      <c r="E214" s="9">
        <v>7.85</v>
      </c>
      <c r="F214" s="10">
        <v>27.99</v>
      </c>
      <c r="G214" s="9">
        <v>27.99</v>
      </c>
      <c r="H214" s="8" t="s">
        <v>3970</v>
      </c>
      <c r="I214" s="7" t="s">
        <v>3185</v>
      </c>
      <c r="J214" s="11" t="s">
        <v>3242</v>
      </c>
      <c r="K214" s="7" t="s">
        <v>3343</v>
      </c>
      <c r="L214" s="7" t="s">
        <v>3371</v>
      </c>
      <c r="M214" s="12" t="str">
        <f>HYPERLINK("http://slimages.macys.com/is/image/MCY/3798032 ")</f>
        <v xml:space="preserve">http://slimages.macys.com/is/image/MCY/3798032 </v>
      </c>
    </row>
    <row r="215" spans="1:13" ht="15.2" customHeight="1" x14ac:dyDescent="0.2">
      <c r="A215" s="6" t="s">
        <v>2814</v>
      </c>
      <c r="B215" s="7" t="s">
        <v>2815</v>
      </c>
      <c r="C215" s="8">
        <v>1</v>
      </c>
      <c r="D215" s="9">
        <v>7.5</v>
      </c>
      <c r="E215" s="9">
        <v>7.5</v>
      </c>
      <c r="F215" s="10">
        <v>19.989999999999998</v>
      </c>
      <c r="G215" s="9">
        <v>19.989999999999998</v>
      </c>
      <c r="H215" s="8" t="s">
        <v>4124</v>
      </c>
      <c r="I215" s="7" t="s">
        <v>3185</v>
      </c>
      <c r="J215" s="11" t="s">
        <v>3186</v>
      </c>
      <c r="K215" s="7" t="s">
        <v>3323</v>
      </c>
      <c r="L215" s="7" t="s">
        <v>3344</v>
      </c>
      <c r="M215" s="12" t="str">
        <f>HYPERLINK("http://slimages.macys.com/is/image/MCY/3953461 ")</f>
        <v xml:space="preserve">http://slimages.macys.com/is/image/MCY/3953461 </v>
      </c>
    </row>
    <row r="216" spans="1:13" ht="15.2" customHeight="1" x14ac:dyDescent="0.2">
      <c r="A216" s="6" t="s">
        <v>2816</v>
      </c>
      <c r="B216" s="7" t="s">
        <v>2817</v>
      </c>
      <c r="C216" s="8">
        <v>1</v>
      </c>
      <c r="D216" s="9">
        <v>7.5</v>
      </c>
      <c r="E216" s="9">
        <v>7.5</v>
      </c>
      <c r="F216" s="10">
        <v>19.989999999999998</v>
      </c>
      <c r="G216" s="9">
        <v>19.989999999999998</v>
      </c>
      <c r="H216" s="8" t="s">
        <v>2818</v>
      </c>
      <c r="I216" s="7" t="s">
        <v>3364</v>
      </c>
      <c r="J216" s="11" t="s">
        <v>3231</v>
      </c>
      <c r="K216" s="7" t="s">
        <v>3323</v>
      </c>
      <c r="L216" s="7" t="s">
        <v>3418</v>
      </c>
      <c r="M216" s="12" t="str">
        <f>HYPERLINK("http://slimages.macys.com/is/image/MCY/3660171 ")</f>
        <v xml:space="preserve">http://slimages.macys.com/is/image/MCY/3660171 </v>
      </c>
    </row>
    <row r="217" spans="1:13" ht="15.2" customHeight="1" x14ac:dyDescent="0.2">
      <c r="A217" s="6" t="s">
        <v>2819</v>
      </c>
      <c r="B217" s="7" t="s">
        <v>2820</v>
      </c>
      <c r="C217" s="8">
        <v>1</v>
      </c>
      <c r="D217" s="9">
        <v>7.5</v>
      </c>
      <c r="E217" s="9">
        <v>7.5</v>
      </c>
      <c r="F217" s="10">
        <v>19.989999999999998</v>
      </c>
      <c r="G217" s="9">
        <v>19.989999999999998</v>
      </c>
      <c r="H217" s="8" t="s">
        <v>2818</v>
      </c>
      <c r="I217" s="7" t="s">
        <v>3364</v>
      </c>
      <c r="J217" s="11" t="s">
        <v>3242</v>
      </c>
      <c r="K217" s="7" t="s">
        <v>3323</v>
      </c>
      <c r="L217" s="7" t="s">
        <v>3418</v>
      </c>
      <c r="M217" s="12" t="str">
        <f>HYPERLINK("http://slimages.macys.com/is/image/MCY/3660171 ")</f>
        <v xml:space="preserve">http://slimages.macys.com/is/image/MCY/3660171 </v>
      </c>
    </row>
    <row r="218" spans="1:13" ht="15.2" customHeight="1" x14ac:dyDescent="0.2">
      <c r="A218" s="6" t="s">
        <v>2821</v>
      </c>
      <c r="B218" s="7" t="s">
        <v>2822</v>
      </c>
      <c r="C218" s="8">
        <v>3</v>
      </c>
      <c r="D218" s="9">
        <v>7.5</v>
      </c>
      <c r="E218" s="9">
        <v>22.5</v>
      </c>
      <c r="F218" s="10">
        <v>19.989999999999998</v>
      </c>
      <c r="G218" s="9">
        <v>59.97</v>
      </c>
      <c r="H218" s="8" t="s">
        <v>2818</v>
      </c>
      <c r="I218" s="7" t="s">
        <v>3364</v>
      </c>
      <c r="J218" s="11" t="s">
        <v>3186</v>
      </c>
      <c r="K218" s="7" t="s">
        <v>3323</v>
      </c>
      <c r="L218" s="7" t="s">
        <v>3418</v>
      </c>
      <c r="M218" s="12" t="str">
        <f>HYPERLINK("http://slimages.macys.com/is/image/MCY/3660171 ")</f>
        <v xml:space="preserve">http://slimages.macys.com/is/image/MCY/3660171 </v>
      </c>
    </row>
    <row r="219" spans="1:13" ht="15.2" customHeight="1" x14ac:dyDescent="0.2">
      <c r="A219" s="6" t="s">
        <v>2823</v>
      </c>
      <c r="B219" s="7" t="s">
        <v>2824</v>
      </c>
      <c r="C219" s="8">
        <v>2</v>
      </c>
      <c r="D219" s="9">
        <v>7.5</v>
      </c>
      <c r="E219" s="9">
        <v>15</v>
      </c>
      <c r="F219" s="10">
        <v>19.989999999999998</v>
      </c>
      <c r="G219" s="9">
        <v>39.979999999999997</v>
      </c>
      <c r="H219" s="8" t="s">
        <v>2818</v>
      </c>
      <c r="I219" s="7" t="s">
        <v>3364</v>
      </c>
      <c r="J219" s="11" t="s">
        <v>3220</v>
      </c>
      <c r="K219" s="7" t="s">
        <v>3323</v>
      </c>
      <c r="L219" s="7" t="s">
        <v>3418</v>
      </c>
      <c r="M219" s="12" t="str">
        <f>HYPERLINK("http://slimages.macys.com/is/image/MCY/3660171 ")</f>
        <v xml:space="preserve">http://slimages.macys.com/is/image/MCY/3660171 </v>
      </c>
    </row>
    <row r="220" spans="1:13" ht="15.2" customHeight="1" x14ac:dyDescent="0.2">
      <c r="A220" s="6" t="s">
        <v>2825</v>
      </c>
      <c r="B220" s="7" t="s">
        <v>2826</v>
      </c>
      <c r="C220" s="8">
        <v>1</v>
      </c>
      <c r="D220" s="9">
        <v>7.5</v>
      </c>
      <c r="E220" s="9">
        <v>7.5</v>
      </c>
      <c r="F220" s="10">
        <v>18.989999999999998</v>
      </c>
      <c r="G220" s="9">
        <v>18.989999999999998</v>
      </c>
      <c r="H220" s="8" t="s">
        <v>2827</v>
      </c>
      <c r="I220" s="7" t="s">
        <v>3207</v>
      </c>
      <c r="J220" s="11" t="s">
        <v>3186</v>
      </c>
      <c r="K220" s="7" t="s">
        <v>3241</v>
      </c>
      <c r="L220" s="7" t="s">
        <v>3371</v>
      </c>
      <c r="M220" s="12" t="str">
        <f>HYPERLINK("http://slimages.macys.com/is/image/MCY/3955684 ")</f>
        <v xml:space="preserve">http://slimages.macys.com/is/image/MCY/3955684 </v>
      </c>
    </row>
    <row r="221" spans="1:13" ht="15.2" customHeight="1" x14ac:dyDescent="0.2">
      <c r="A221" s="6" t="s">
        <v>2828</v>
      </c>
      <c r="B221" s="7" t="s">
        <v>2829</v>
      </c>
      <c r="C221" s="8">
        <v>3</v>
      </c>
      <c r="D221" s="9">
        <v>7.5</v>
      </c>
      <c r="E221" s="9">
        <v>22.5</v>
      </c>
      <c r="F221" s="10">
        <v>19.989999999999998</v>
      </c>
      <c r="G221" s="9">
        <v>59.97</v>
      </c>
      <c r="H221" s="8" t="s">
        <v>2818</v>
      </c>
      <c r="I221" s="7" t="s">
        <v>3364</v>
      </c>
      <c r="J221" s="11" t="s">
        <v>3202</v>
      </c>
      <c r="K221" s="7" t="s">
        <v>3323</v>
      </c>
      <c r="L221" s="7" t="s">
        <v>3418</v>
      </c>
      <c r="M221" s="12" t="str">
        <f>HYPERLINK("http://slimages.macys.com/is/image/MCY/3660171 ")</f>
        <v xml:space="preserve">http://slimages.macys.com/is/image/MCY/3660171 </v>
      </c>
    </row>
    <row r="222" spans="1:13" ht="15.2" customHeight="1" x14ac:dyDescent="0.2">
      <c r="A222" s="6" t="s">
        <v>2271</v>
      </c>
      <c r="B222" s="7" t="s">
        <v>2272</v>
      </c>
      <c r="C222" s="8">
        <v>1</v>
      </c>
      <c r="D222" s="9">
        <v>6.62</v>
      </c>
      <c r="E222" s="9">
        <v>6.62</v>
      </c>
      <c r="F222" s="10">
        <v>14.99</v>
      </c>
      <c r="G222" s="9">
        <v>14.99</v>
      </c>
      <c r="H222" s="8" t="s">
        <v>4130</v>
      </c>
      <c r="I222" s="7" t="s">
        <v>3185</v>
      </c>
      <c r="J222" s="11" t="s">
        <v>3220</v>
      </c>
      <c r="K222" s="7" t="s">
        <v>3300</v>
      </c>
      <c r="L222" s="7" t="s">
        <v>3301</v>
      </c>
      <c r="M222" s="12" t="str">
        <f>HYPERLINK("http://slimages.macys.com/is/image/MCY/3944660 ")</f>
        <v xml:space="preserve">http://slimages.macys.com/is/image/MCY/3944660 </v>
      </c>
    </row>
    <row r="223" spans="1:13" ht="15.2" customHeight="1" x14ac:dyDescent="0.2">
      <c r="A223" s="6" t="s">
        <v>3983</v>
      </c>
      <c r="B223" s="7" t="s">
        <v>3984</v>
      </c>
      <c r="C223" s="8">
        <v>1</v>
      </c>
      <c r="D223" s="9">
        <v>6.5</v>
      </c>
      <c r="E223" s="9">
        <v>6.5</v>
      </c>
      <c r="F223" s="10">
        <v>12.99</v>
      </c>
      <c r="G223" s="9">
        <v>12.99</v>
      </c>
      <c r="H223" s="8" t="s">
        <v>3733</v>
      </c>
      <c r="I223" s="7" t="s">
        <v>3203</v>
      </c>
      <c r="J223" s="11" t="s">
        <v>3220</v>
      </c>
      <c r="K223" s="7" t="s">
        <v>3387</v>
      </c>
      <c r="L223" s="7" t="s">
        <v>3407</v>
      </c>
      <c r="M223" s="12" t="str">
        <f>HYPERLINK("http://slimages.macys.com/is/image/MCY/3719744 ")</f>
        <v xml:space="preserve">http://slimages.macys.com/is/image/MCY/3719744 </v>
      </c>
    </row>
    <row r="224" spans="1:13" ht="15.2" customHeight="1" x14ac:dyDescent="0.2">
      <c r="A224" s="6" t="s">
        <v>2421</v>
      </c>
      <c r="B224" s="7" t="s">
        <v>2422</v>
      </c>
      <c r="C224" s="8">
        <v>1</v>
      </c>
      <c r="D224" s="9">
        <v>6.3</v>
      </c>
      <c r="E224" s="9">
        <v>6.3</v>
      </c>
      <c r="F224" s="10">
        <v>14.99</v>
      </c>
      <c r="G224" s="9">
        <v>14.99</v>
      </c>
      <c r="H224" s="8" t="s">
        <v>2423</v>
      </c>
      <c r="I224" s="7" t="s">
        <v>3235</v>
      </c>
      <c r="J224" s="11" t="s">
        <v>3202</v>
      </c>
      <c r="K224" s="7" t="s">
        <v>3300</v>
      </c>
      <c r="L224" s="7" t="s">
        <v>3301</v>
      </c>
      <c r="M224" s="12" t="str">
        <f>HYPERLINK("http://slimages.macys.com/is/image/MCY/3738486 ")</f>
        <v xml:space="preserve">http://slimages.macys.com/is/image/MCY/3738486 </v>
      </c>
    </row>
    <row r="225" spans="1:13" ht="15.2" customHeight="1" x14ac:dyDescent="0.2">
      <c r="A225" s="6" t="s">
        <v>3734</v>
      </c>
      <c r="B225" s="7" t="s">
        <v>3735</v>
      </c>
      <c r="C225" s="8">
        <v>1</v>
      </c>
      <c r="D225" s="9">
        <v>6.3</v>
      </c>
      <c r="E225" s="9">
        <v>6.3</v>
      </c>
      <c r="F225" s="10">
        <v>14.99</v>
      </c>
      <c r="G225" s="9">
        <v>14.99</v>
      </c>
      <c r="H225" s="8" t="s">
        <v>3445</v>
      </c>
      <c r="I225" s="7" t="s">
        <v>3216</v>
      </c>
      <c r="J225" s="11" t="s">
        <v>3242</v>
      </c>
      <c r="K225" s="7" t="s">
        <v>3300</v>
      </c>
      <c r="L225" s="7" t="s">
        <v>3301</v>
      </c>
      <c r="M225" s="12" t="str">
        <f>HYPERLINK("http://slimages.macys.com/is/image/MCY/3876250 ")</f>
        <v xml:space="preserve">http://slimages.macys.com/is/image/MCY/3876250 </v>
      </c>
    </row>
    <row r="226" spans="1:13" ht="15.2" customHeight="1" x14ac:dyDescent="0.2">
      <c r="A226" s="6" t="s">
        <v>2830</v>
      </c>
      <c r="B226" s="7" t="s">
        <v>2831</v>
      </c>
      <c r="C226" s="8">
        <v>1</v>
      </c>
      <c r="D226" s="9">
        <v>6.25</v>
      </c>
      <c r="E226" s="9">
        <v>6.25</v>
      </c>
      <c r="F226" s="10">
        <v>13.99</v>
      </c>
      <c r="G226" s="9">
        <v>13.99</v>
      </c>
      <c r="H226" s="8" t="s">
        <v>4322</v>
      </c>
      <c r="I226" s="7" t="s">
        <v>3216</v>
      </c>
      <c r="J226" s="11" t="s">
        <v>3220</v>
      </c>
      <c r="K226" s="7" t="s">
        <v>3387</v>
      </c>
      <c r="L226" s="7" t="s">
        <v>3371</v>
      </c>
      <c r="M226" s="12" t="str">
        <f>HYPERLINK("http://slimages.macys.com/is/image/MCY/3879621 ")</f>
        <v xml:space="preserve">http://slimages.macys.com/is/image/MCY/3879621 </v>
      </c>
    </row>
    <row r="227" spans="1:13" ht="15.2" customHeight="1" x14ac:dyDescent="0.2">
      <c r="A227" s="6" t="s">
        <v>2288</v>
      </c>
      <c r="B227" s="7" t="s">
        <v>2289</v>
      </c>
      <c r="C227" s="8">
        <v>1</v>
      </c>
      <c r="D227" s="9">
        <v>6.15</v>
      </c>
      <c r="E227" s="9">
        <v>6.15</v>
      </c>
      <c r="F227" s="10">
        <v>14.99</v>
      </c>
      <c r="G227" s="9">
        <v>14.99</v>
      </c>
      <c r="H227" s="8" t="s">
        <v>2287</v>
      </c>
      <c r="I227" s="7" t="s">
        <v>3396</v>
      </c>
      <c r="J227" s="11" t="s">
        <v>3186</v>
      </c>
      <c r="K227" s="7" t="s">
        <v>3300</v>
      </c>
      <c r="L227" s="7" t="s">
        <v>3301</v>
      </c>
      <c r="M227" s="12" t="str">
        <f>HYPERLINK("http://slimages.macys.com/is/image/MCY/3857666 ")</f>
        <v xml:space="preserve">http://slimages.macys.com/is/image/MCY/3857666 </v>
      </c>
    </row>
    <row r="228" spans="1:13" ht="15.2" customHeight="1" x14ac:dyDescent="0.2">
      <c r="A228" s="6" t="s">
        <v>2832</v>
      </c>
      <c r="B228" s="7" t="s">
        <v>2833</v>
      </c>
      <c r="C228" s="8">
        <v>1</v>
      </c>
      <c r="D228" s="9">
        <v>6.15</v>
      </c>
      <c r="E228" s="9">
        <v>6.15</v>
      </c>
      <c r="F228" s="10">
        <v>13.99</v>
      </c>
      <c r="G228" s="9">
        <v>13.99</v>
      </c>
      <c r="H228" s="8" t="s">
        <v>3452</v>
      </c>
      <c r="I228" s="7" t="s">
        <v>3216</v>
      </c>
      <c r="J228" s="11" t="s">
        <v>3220</v>
      </c>
      <c r="K228" s="7" t="s">
        <v>3387</v>
      </c>
      <c r="L228" s="7" t="s">
        <v>3371</v>
      </c>
      <c r="M228" s="12" t="str">
        <f>HYPERLINK("http://slimages.macys.com/is/image/MCY/3910835 ")</f>
        <v xml:space="preserve">http://slimages.macys.com/is/image/MCY/3910835 </v>
      </c>
    </row>
    <row r="229" spans="1:13" ht="15.2" customHeight="1" x14ac:dyDescent="0.2">
      <c r="A229" s="6" t="s">
        <v>2834</v>
      </c>
      <c r="B229" s="7" t="s">
        <v>2835</v>
      </c>
      <c r="C229" s="8">
        <v>1</v>
      </c>
      <c r="D229" s="9">
        <v>6.1</v>
      </c>
      <c r="E229" s="9">
        <v>6.1</v>
      </c>
      <c r="F229" s="10">
        <v>15.99</v>
      </c>
      <c r="G229" s="9">
        <v>15.99</v>
      </c>
      <c r="H229" s="8" t="s">
        <v>3995</v>
      </c>
      <c r="I229" s="7" t="s">
        <v>3257</v>
      </c>
      <c r="J229" s="11" t="s">
        <v>3242</v>
      </c>
      <c r="K229" s="7" t="s">
        <v>3241</v>
      </c>
      <c r="L229" s="7" t="s">
        <v>3371</v>
      </c>
      <c r="M229" s="12" t="str">
        <f>HYPERLINK("http://slimages.macys.com/is/image/MCY/3947255 ")</f>
        <v xml:space="preserve">http://slimages.macys.com/is/image/MCY/3947255 </v>
      </c>
    </row>
    <row r="230" spans="1:13" ht="15.2" customHeight="1" x14ac:dyDescent="0.2">
      <c r="A230" s="6" t="s">
        <v>2836</v>
      </c>
      <c r="B230" s="7" t="s">
        <v>2837</v>
      </c>
      <c r="C230" s="8">
        <v>1</v>
      </c>
      <c r="D230" s="9">
        <v>5.95</v>
      </c>
      <c r="E230" s="9">
        <v>5.95</v>
      </c>
      <c r="F230" s="10">
        <v>12.99</v>
      </c>
      <c r="G230" s="9">
        <v>12.99</v>
      </c>
      <c r="H230" s="8" t="s">
        <v>2838</v>
      </c>
      <c r="I230" s="7" t="s">
        <v>3376</v>
      </c>
      <c r="J230" s="11" t="s">
        <v>3202</v>
      </c>
      <c r="K230" s="7" t="s">
        <v>3387</v>
      </c>
      <c r="L230" s="7" t="s">
        <v>3429</v>
      </c>
      <c r="M230" s="12" t="str">
        <f>HYPERLINK("http://slimages.macys.com/is/image/MCY/3947094 ")</f>
        <v xml:space="preserve">http://slimages.macys.com/is/image/MCY/3947094 </v>
      </c>
    </row>
    <row r="231" spans="1:13" ht="15.2" customHeight="1" x14ac:dyDescent="0.2">
      <c r="A231" s="6" t="s">
        <v>2839</v>
      </c>
      <c r="B231" s="7" t="s">
        <v>2840</v>
      </c>
      <c r="C231" s="8">
        <v>1</v>
      </c>
      <c r="D231" s="9">
        <v>5.95</v>
      </c>
      <c r="E231" s="9">
        <v>5.95</v>
      </c>
      <c r="F231" s="10">
        <v>12.99</v>
      </c>
      <c r="G231" s="9">
        <v>12.99</v>
      </c>
      <c r="H231" s="8" t="s">
        <v>3459</v>
      </c>
      <c r="I231" s="7" t="s">
        <v>3252</v>
      </c>
      <c r="J231" s="11" t="s">
        <v>3202</v>
      </c>
      <c r="K231" s="7" t="s">
        <v>3387</v>
      </c>
      <c r="L231" s="7" t="s">
        <v>3429</v>
      </c>
      <c r="M231" s="12" t="str">
        <f>HYPERLINK("http://slimages.macys.com/is/image/MCY/3700228 ")</f>
        <v xml:space="preserve">http://slimages.macys.com/is/image/MCY/3700228 </v>
      </c>
    </row>
    <row r="232" spans="1:13" ht="15.2" customHeight="1" x14ac:dyDescent="0.2">
      <c r="A232" s="6" t="s">
        <v>4323</v>
      </c>
      <c r="B232" s="7" t="s">
        <v>4324</v>
      </c>
      <c r="C232" s="8">
        <v>1</v>
      </c>
      <c r="D232" s="9">
        <v>5.85</v>
      </c>
      <c r="E232" s="9">
        <v>5.85</v>
      </c>
      <c r="F232" s="10">
        <v>13.99</v>
      </c>
      <c r="G232" s="9">
        <v>13.99</v>
      </c>
      <c r="H232" s="8" t="s">
        <v>3996</v>
      </c>
      <c r="I232" s="7" t="s">
        <v>3421</v>
      </c>
      <c r="J232" s="11" t="s">
        <v>3220</v>
      </c>
      <c r="K232" s="7" t="s">
        <v>3387</v>
      </c>
      <c r="L232" s="7" t="s">
        <v>3404</v>
      </c>
      <c r="M232" s="12" t="str">
        <f>HYPERLINK("http://slimages.macys.com/is/image/MCY/3787423 ")</f>
        <v xml:space="preserve">http://slimages.macys.com/is/image/MCY/3787423 </v>
      </c>
    </row>
    <row r="233" spans="1:13" ht="15.2" customHeight="1" x14ac:dyDescent="0.2">
      <c r="A233" s="6" t="s">
        <v>3472</v>
      </c>
      <c r="B233" s="7" t="s">
        <v>3473</v>
      </c>
      <c r="C233" s="8">
        <v>1</v>
      </c>
      <c r="D233" s="9">
        <v>5.5</v>
      </c>
      <c r="E233" s="9">
        <v>5.5</v>
      </c>
      <c r="F233" s="10">
        <v>16.989999999999998</v>
      </c>
      <c r="G233" s="9">
        <v>16.989999999999998</v>
      </c>
      <c r="H233" s="8" t="s">
        <v>3469</v>
      </c>
      <c r="I233" s="7" t="s">
        <v>3437</v>
      </c>
      <c r="J233" s="11" t="s">
        <v>3220</v>
      </c>
      <c r="K233" s="7" t="s">
        <v>3387</v>
      </c>
      <c r="L233" s="7" t="s">
        <v>3442</v>
      </c>
      <c r="M233" s="12" t="str">
        <f>HYPERLINK("http://slimages.macys.com/is/image/MCY/3953470 ")</f>
        <v xml:space="preserve">http://slimages.macys.com/is/image/MCY/3953470 </v>
      </c>
    </row>
    <row r="234" spans="1:13" ht="15.2" customHeight="1" x14ac:dyDescent="0.2">
      <c r="A234" s="6" t="s">
        <v>2841</v>
      </c>
      <c r="B234" s="7" t="s">
        <v>2842</v>
      </c>
      <c r="C234" s="8">
        <v>1</v>
      </c>
      <c r="D234" s="9">
        <v>5.5</v>
      </c>
      <c r="E234" s="9">
        <v>5.5</v>
      </c>
      <c r="F234" s="10">
        <v>16.989999999999998</v>
      </c>
      <c r="G234" s="9">
        <v>16.989999999999998</v>
      </c>
      <c r="H234" s="8" t="s">
        <v>3469</v>
      </c>
      <c r="I234" s="7" t="s">
        <v>3214</v>
      </c>
      <c r="J234" s="11" t="s">
        <v>3186</v>
      </c>
      <c r="K234" s="7" t="s">
        <v>3387</v>
      </c>
      <c r="L234" s="7" t="s">
        <v>3442</v>
      </c>
      <c r="M234" s="12" t="str">
        <f>HYPERLINK("http://slimages.macys.com/is/image/MCY/3890955 ")</f>
        <v xml:space="preserve">http://slimages.macys.com/is/image/MCY/3890955 </v>
      </c>
    </row>
    <row r="235" spans="1:13" ht="15.2" customHeight="1" x14ac:dyDescent="0.2">
      <c r="A235" s="6" t="s">
        <v>3478</v>
      </c>
      <c r="B235" s="7" t="s">
        <v>3479</v>
      </c>
      <c r="C235" s="8">
        <v>3</v>
      </c>
      <c r="D235" s="9">
        <v>5.5</v>
      </c>
      <c r="E235" s="9">
        <v>16.5</v>
      </c>
      <c r="F235" s="10">
        <v>16.989999999999998</v>
      </c>
      <c r="G235" s="9">
        <v>50.97</v>
      </c>
      <c r="H235" s="8" t="s">
        <v>3469</v>
      </c>
      <c r="I235" s="7" t="s">
        <v>3437</v>
      </c>
      <c r="J235" s="11" t="s">
        <v>3186</v>
      </c>
      <c r="K235" s="7" t="s">
        <v>3387</v>
      </c>
      <c r="L235" s="7" t="s">
        <v>3442</v>
      </c>
      <c r="M235" s="12" t="str">
        <f>HYPERLINK("http://slimages.macys.com/is/image/MCY/3953470 ")</f>
        <v xml:space="preserve">http://slimages.macys.com/is/image/MCY/3953470 </v>
      </c>
    </row>
    <row r="236" spans="1:13" ht="15.2" customHeight="1" x14ac:dyDescent="0.2">
      <c r="A236" s="6" t="s">
        <v>2843</v>
      </c>
      <c r="B236" s="7" t="s">
        <v>2844</v>
      </c>
      <c r="C236" s="8">
        <v>2</v>
      </c>
      <c r="D236" s="9">
        <v>5.5</v>
      </c>
      <c r="E236" s="9">
        <v>11</v>
      </c>
      <c r="F236" s="10">
        <v>16.989999999999998</v>
      </c>
      <c r="G236" s="9">
        <v>33.979999999999997</v>
      </c>
      <c r="H236" s="8" t="s">
        <v>3469</v>
      </c>
      <c r="I236" s="7" t="s">
        <v>3214</v>
      </c>
      <c r="J236" s="11" t="s">
        <v>3231</v>
      </c>
      <c r="K236" s="7" t="s">
        <v>3387</v>
      </c>
      <c r="L236" s="7" t="s">
        <v>3442</v>
      </c>
      <c r="M236" s="12" t="str">
        <f>HYPERLINK("http://slimages.macys.com/is/image/MCY/3890955 ")</f>
        <v xml:space="preserve">http://slimages.macys.com/is/image/MCY/3890955 </v>
      </c>
    </row>
    <row r="237" spans="1:13" ht="15.2" customHeight="1" x14ac:dyDescent="0.2">
      <c r="A237" s="6" t="s">
        <v>3749</v>
      </c>
      <c r="B237" s="7" t="s">
        <v>3750</v>
      </c>
      <c r="C237" s="8">
        <v>2</v>
      </c>
      <c r="D237" s="9">
        <v>5.5</v>
      </c>
      <c r="E237" s="9">
        <v>11</v>
      </c>
      <c r="F237" s="10">
        <v>16.989999999999998</v>
      </c>
      <c r="G237" s="9">
        <v>33.979999999999997</v>
      </c>
      <c r="H237" s="8" t="s">
        <v>3469</v>
      </c>
      <c r="I237" s="7" t="s">
        <v>3252</v>
      </c>
      <c r="J237" s="11" t="s">
        <v>3186</v>
      </c>
      <c r="K237" s="7" t="s">
        <v>3387</v>
      </c>
      <c r="L237" s="7" t="s">
        <v>3442</v>
      </c>
      <c r="M237" s="12" t="str">
        <f>HYPERLINK("http://slimages.macys.com/is/image/MCY/3953466 ")</f>
        <v xml:space="preserve">http://slimages.macys.com/is/image/MCY/3953466 </v>
      </c>
    </row>
    <row r="238" spans="1:13" ht="15.2" customHeight="1" x14ac:dyDescent="0.2">
      <c r="A238" s="6" t="s">
        <v>2292</v>
      </c>
      <c r="B238" s="7" t="s">
        <v>2293</v>
      </c>
      <c r="C238" s="8">
        <v>1</v>
      </c>
      <c r="D238" s="9">
        <v>5.46</v>
      </c>
      <c r="E238" s="9">
        <v>5.46</v>
      </c>
      <c r="F238" s="10">
        <v>12.99</v>
      </c>
      <c r="G238" s="9">
        <v>12.99</v>
      </c>
      <c r="H238" s="8" t="s">
        <v>3480</v>
      </c>
      <c r="I238" s="7" t="s">
        <v>3394</v>
      </c>
      <c r="J238" s="11" t="s">
        <v>3231</v>
      </c>
      <c r="K238" s="7" t="s">
        <v>3300</v>
      </c>
      <c r="L238" s="7" t="s">
        <v>3301</v>
      </c>
      <c r="M238" s="12" t="str">
        <f>HYPERLINK("http://slimages.macys.com/is/image/MCY/3857705 ")</f>
        <v xml:space="preserve">http://slimages.macys.com/is/image/MCY/3857705 </v>
      </c>
    </row>
    <row r="239" spans="1:13" ht="15.2" customHeight="1" x14ac:dyDescent="0.2">
      <c r="A239" s="6" t="s">
        <v>2427</v>
      </c>
      <c r="B239" s="7" t="s">
        <v>2428</v>
      </c>
      <c r="C239" s="8">
        <v>1</v>
      </c>
      <c r="D239" s="9">
        <v>5.46</v>
      </c>
      <c r="E239" s="9">
        <v>5.46</v>
      </c>
      <c r="F239" s="10">
        <v>12.99</v>
      </c>
      <c r="G239" s="9">
        <v>12.99</v>
      </c>
      <c r="H239" s="8" t="s">
        <v>3751</v>
      </c>
      <c r="I239" s="7" t="s">
        <v>3394</v>
      </c>
      <c r="J239" s="11" t="s">
        <v>3231</v>
      </c>
      <c r="K239" s="7" t="s">
        <v>3300</v>
      </c>
      <c r="L239" s="7" t="s">
        <v>3301</v>
      </c>
      <c r="M239" s="12" t="str">
        <f>HYPERLINK("http://slimages.macys.com/is/image/MCY/3857696 ")</f>
        <v xml:space="preserve">http://slimages.macys.com/is/image/MCY/3857696 </v>
      </c>
    </row>
    <row r="240" spans="1:13" ht="15.2" customHeight="1" x14ac:dyDescent="0.2">
      <c r="A240" s="6" t="s">
        <v>2429</v>
      </c>
      <c r="B240" s="7" t="s">
        <v>2430</v>
      </c>
      <c r="C240" s="8">
        <v>1</v>
      </c>
      <c r="D240" s="9">
        <v>5.46</v>
      </c>
      <c r="E240" s="9">
        <v>5.46</v>
      </c>
      <c r="F240" s="10">
        <v>12.99</v>
      </c>
      <c r="G240" s="9">
        <v>12.99</v>
      </c>
      <c r="H240" s="8" t="s">
        <v>3751</v>
      </c>
      <c r="I240" s="7" t="s">
        <v>3333</v>
      </c>
      <c r="J240" s="11" t="s">
        <v>3231</v>
      </c>
      <c r="K240" s="7" t="s">
        <v>3300</v>
      </c>
      <c r="L240" s="7" t="s">
        <v>3301</v>
      </c>
      <c r="M240" s="12" t="str">
        <f>HYPERLINK("http://slimages.macys.com/is/image/MCY/3857696 ")</f>
        <v xml:space="preserve">http://slimages.macys.com/is/image/MCY/3857696 </v>
      </c>
    </row>
    <row r="241" spans="1:13" ht="15.2" customHeight="1" x14ac:dyDescent="0.2">
      <c r="A241" s="6" t="s">
        <v>2845</v>
      </c>
      <c r="B241" s="7" t="s">
        <v>2846</v>
      </c>
      <c r="C241" s="8">
        <v>1</v>
      </c>
      <c r="D241" s="9">
        <v>4.67</v>
      </c>
      <c r="E241" s="9">
        <v>4.67</v>
      </c>
      <c r="F241" s="10">
        <v>12.99</v>
      </c>
      <c r="G241" s="9">
        <v>12.99</v>
      </c>
      <c r="H241" s="8" t="s">
        <v>2847</v>
      </c>
      <c r="I241" s="7" t="s">
        <v>3216</v>
      </c>
      <c r="J241" s="11" t="s">
        <v>3231</v>
      </c>
      <c r="K241" s="7" t="s">
        <v>3387</v>
      </c>
      <c r="L241" s="7" t="s">
        <v>3425</v>
      </c>
      <c r="M241" s="12" t="str">
        <f>HYPERLINK("http://slimages.macys.com/is/image/MCY/3875946 ")</f>
        <v xml:space="preserve">http://slimages.macys.com/is/image/MCY/3875946 </v>
      </c>
    </row>
    <row r="242" spans="1:13" ht="15.2" customHeight="1" x14ac:dyDescent="0.2">
      <c r="A242" s="6" t="s">
        <v>2434</v>
      </c>
      <c r="B242" s="7" t="s">
        <v>2435</v>
      </c>
      <c r="C242" s="8">
        <v>1</v>
      </c>
      <c r="D242" s="9">
        <v>4.67</v>
      </c>
      <c r="E242" s="9">
        <v>4.67</v>
      </c>
      <c r="F242" s="10">
        <v>12.99</v>
      </c>
      <c r="G242" s="9">
        <v>12.99</v>
      </c>
      <c r="H242" s="8" t="s">
        <v>2436</v>
      </c>
      <c r="I242" s="7" t="s">
        <v>3252</v>
      </c>
      <c r="J242" s="11" t="s">
        <v>3186</v>
      </c>
      <c r="K242" s="7" t="s">
        <v>3387</v>
      </c>
      <c r="L242" s="7" t="s">
        <v>3425</v>
      </c>
      <c r="M242" s="12" t="str">
        <f>HYPERLINK("http://slimages.macys.com/is/image/MCY/3890879 ")</f>
        <v xml:space="preserve">http://slimages.macys.com/is/image/MCY/3890879 </v>
      </c>
    </row>
    <row r="243" spans="1:13" ht="15.2" customHeight="1" x14ac:dyDescent="0.2">
      <c r="A243" s="6" t="s">
        <v>2848</v>
      </c>
      <c r="B243" s="7" t="s">
        <v>2849</v>
      </c>
      <c r="C243" s="8">
        <v>2</v>
      </c>
      <c r="D243" s="9">
        <v>4.67</v>
      </c>
      <c r="E243" s="9">
        <v>9.34</v>
      </c>
      <c r="F243" s="10">
        <v>12.99</v>
      </c>
      <c r="G243" s="9">
        <v>25.98</v>
      </c>
      <c r="H243" s="8" t="s">
        <v>2436</v>
      </c>
      <c r="I243" s="7" t="s">
        <v>3252</v>
      </c>
      <c r="J243" s="11" t="s">
        <v>3220</v>
      </c>
      <c r="K243" s="7" t="s">
        <v>3387</v>
      </c>
      <c r="L243" s="7" t="s">
        <v>3425</v>
      </c>
      <c r="M243" s="12" t="str">
        <f>HYPERLINK("http://slimages.macys.com/is/image/MCY/3890879 ")</f>
        <v xml:space="preserve">http://slimages.macys.com/is/image/MCY/3890879 </v>
      </c>
    </row>
    <row r="244" spans="1:13" ht="15.2" customHeight="1" x14ac:dyDescent="0.2">
      <c r="A244" s="6" t="s">
        <v>2850</v>
      </c>
      <c r="B244" s="7" t="s">
        <v>2851</v>
      </c>
      <c r="C244" s="8">
        <v>2</v>
      </c>
      <c r="D244" s="9">
        <v>4.67</v>
      </c>
      <c r="E244" s="9">
        <v>9.34</v>
      </c>
      <c r="F244" s="10">
        <v>12.99</v>
      </c>
      <c r="G244" s="9">
        <v>25.98</v>
      </c>
      <c r="H244" s="8" t="s">
        <v>2847</v>
      </c>
      <c r="I244" s="7" t="s">
        <v>3216</v>
      </c>
      <c r="J244" s="11" t="s">
        <v>3186</v>
      </c>
      <c r="K244" s="7" t="s">
        <v>3387</v>
      </c>
      <c r="L244" s="7" t="s">
        <v>3425</v>
      </c>
      <c r="M244" s="12" t="str">
        <f>HYPERLINK("http://slimages.macys.com/is/image/MCY/3875946 ")</f>
        <v xml:space="preserve">http://slimages.macys.com/is/image/MCY/3875946 </v>
      </c>
    </row>
    <row r="245" spans="1:13" ht="15.2" customHeight="1" x14ac:dyDescent="0.2">
      <c r="A245" s="6" t="s">
        <v>2852</v>
      </c>
      <c r="B245" s="7" t="s">
        <v>2853</v>
      </c>
      <c r="C245" s="8">
        <v>1</v>
      </c>
      <c r="D245" s="9">
        <v>4.6500000000000004</v>
      </c>
      <c r="E245" s="9">
        <v>4.6500000000000004</v>
      </c>
      <c r="F245" s="10">
        <v>10.99</v>
      </c>
      <c r="G245" s="9">
        <v>10.99</v>
      </c>
      <c r="H245" s="8">
        <v>60359814</v>
      </c>
      <c r="I245" s="7" t="s">
        <v>3185</v>
      </c>
      <c r="J245" s="11" t="s">
        <v>3220</v>
      </c>
      <c r="K245" s="7" t="s">
        <v>3387</v>
      </c>
      <c r="L245" s="7" t="s">
        <v>3368</v>
      </c>
      <c r="M245" s="12" t="str">
        <f>HYPERLINK("http://slimages.macys.com/is/image/MCY/2308508 ")</f>
        <v xml:space="preserve">http://slimages.macys.com/is/image/MCY/2308508 </v>
      </c>
    </row>
    <row r="246" spans="1:13" ht="15.2" customHeight="1" x14ac:dyDescent="0.2">
      <c r="A246" s="6" t="s">
        <v>2854</v>
      </c>
      <c r="B246" s="7" t="s">
        <v>2855</v>
      </c>
      <c r="C246" s="8">
        <v>1</v>
      </c>
      <c r="D246" s="9">
        <v>4.6500000000000004</v>
      </c>
      <c r="E246" s="9">
        <v>4.6500000000000004</v>
      </c>
      <c r="F246" s="10">
        <v>10.99</v>
      </c>
      <c r="G246" s="9">
        <v>10.99</v>
      </c>
      <c r="H246" s="8">
        <v>60359814</v>
      </c>
      <c r="I246" s="7" t="s">
        <v>3185</v>
      </c>
      <c r="J246" s="11" t="s">
        <v>3236</v>
      </c>
      <c r="K246" s="7" t="s">
        <v>3387</v>
      </c>
      <c r="L246" s="7" t="s">
        <v>3368</v>
      </c>
      <c r="M246" s="12" t="str">
        <f>HYPERLINK("http://slimages.macys.com/is/image/MCY/3841046 ")</f>
        <v xml:space="preserve">http://slimages.macys.com/is/image/MCY/3841046 </v>
      </c>
    </row>
    <row r="247" spans="1:13" ht="15.2" customHeight="1" x14ac:dyDescent="0.2">
      <c r="A247" s="6" t="s">
        <v>2856</v>
      </c>
      <c r="B247" s="7" t="s">
        <v>2857</v>
      </c>
      <c r="C247" s="8">
        <v>1</v>
      </c>
      <c r="D247" s="9">
        <v>4.6500000000000004</v>
      </c>
      <c r="E247" s="9">
        <v>4.6500000000000004</v>
      </c>
      <c r="F247" s="10">
        <v>10.99</v>
      </c>
      <c r="G247" s="9">
        <v>10.99</v>
      </c>
      <c r="H247" s="8">
        <v>60359814</v>
      </c>
      <c r="I247" s="7" t="s">
        <v>3185</v>
      </c>
      <c r="J247" s="11" t="s">
        <v>3242</v>
      </c>
      <c r="K247" s="7" t="s">
        <v>3387</v>
      </c>
      <c r="L247" s="7" t="s">
        <v>3368</v>
      </c>
      <c r="M247" s="12" t="str">
        <f>HYPERLINK("http://slimages.macys.com/is/image/MCY/2308508 ")</f>
        <v xml:space="preserve">http://slimages.macys.com/is/image/MCY/2308508 </v>
      </c>
    </row>
    <row r="248" spans="1:13" ht="15.2" customHeight="1" x14ac:dyDescent="0.2">
      <c r="A248" s="6" t="s">
        <v>2858</v>
      </c>
      <c r="B248" s="7" t="s">
        <v>2859</v>
      </c>
      <c r="C248" s="8">
        <v>1</v>
      </c>
      <c r="D248" s="9">
        <v>4.3499999999999996</v>
      </c>
      <c r="E248" s="9">
        <v>4.3499999999999996</v>
      </c>
      <c r="F248" s="10">
        <v>13.99</v>
      </c>
      <c r="G248" s="9">
        <v>13.99</v>
      </c>
      <c r="H248" s="8" t="s">
        <v>3756</v>
      </c>
      <c r="I248" s="7" t="s">
        <v>3252</v>
      </c>
      <c r="J248" s="11" t="s">
        <v>3242</v>
      </c>
      <c r="K248" s="7" t="s">
        <v>3387</v>
      </c>
      <c r="L248" s="7" t="s">
        <v>3409</v>
      </c>
      <c r="M248" s="12" t="str">
        <f>HYPERLINK("http://slimages.macys.com/is/image/MCY/3931147 ")</f>
        <v xml:space="preserve">http://slimages.macys.com/is/image/MCY/3931147 </v>
      </c>
    </row>
    <row r="249" spans="1:13" ht="15.2" customHeight="1" x14ac:dyDescent="0.2">
      <c r="A249" s="6" t="s">
        <v>2440</v>
      </c>
      <c r="B249" s="7" t="s">
        <v>2441</v>
      </c>
      <c r="C249" s="8">
        <v>1</v>
      </c>
      <c r="D249" s="9">
        <v>3.72</v>
      </c>
      <c r="E249" s="9">
        <v>3.72</v>
      </c>
      <c r="F249" s="10">
        <v>7.99</v>
      </c>
      <c r="G249" s="9">
        <v>7.99</v>
      </c>
      <c r="H249" s="8" t="s">
        <v>3484</v>
      </c>
      <c r="I249" s="7" t="s">
        <v>3182</v>
      </c>
      <c r="J249" s="11" t="s">
        <v>3236</v>
      </c>
      <c r="K249" s="7" t="s">
        <v>3387</v>
      </c>
      <c r="L249" s="7" t="s">
        <v>3409</v>
      </c>
      <c r="M249" s="12" t="str">
        <f>HYPERLINK("http://slimages.macys.com/is/image/MCY/3609979 ")</f>
        <v xml:space="preserve">http://slimages.macys.com/is/image/MCY/3609979 </v>
      </c>
    </row>
    <row r="250" spans="1:13" ht="15.2" customHeight="1" x14ac:dyDescent="0.2">
      <c r="A250" s="6" t="s">
        <v>2860</v>
      </c>
      <c r="B250" s="7" t="s">
        <v>2861</v>
      </c>
      <c r="C250" s="8">
        <v>1</v>
      </c>
      <c r="D250" s="9">
        <v>26.47</v>
      </c>
      <c r="E250" s="9">
        <v>26.47</v>
      </c>
      <c r="F250" s="10">
        <v>74.5</v>
      </c>
      <c r="G250" s="9">
        <v>74.5</v>
      </c>
      <c r="H250" s="8" t="s">
        <v>2862</v>
      </c>
      <c r="I250" s="7" t="s">
        <v>3191</v>
      </c>
      <c r="J250" s="11" t="s">
        <v>3195</v>
      </c>
      <c r="K250" s="7" t="s">
        <v>3193</v>
      </c>
      <c r="L250" s="7" t="s">
        <v>3194</v>
      </c>
      <c r="M250" s="12"/>
    </row>
    <row r="251" spans="1:13" ht="15.2" customHeight="1" x14ac:dyDescent="0.2">
      <c r="A251" s="6" t="s">
        <v>2863</v>
      </c>
      <c r="B251" s="7" t="s">
        <v>2864</v>
      </c>
      <c r="C251" s="8">
        <v>1</v>
      </c>
      <c r="D251" s="9">
        <v>26.25</v>
      </c>
      <c r="E251" s="9">
        <v>26.25</v>
      </c>
      <c r="F251" s="10">
        <v>79</v>
      </c>
      <c r="G251" s="9">
        <v>79</v>
      </c>
      <c r="H251" s="8" t="s">
        <v>2865</v>
      </c>
      <c r="I251" s="7" t="s">
        <v>3185</v>
      </c>
      <c r="J251" s="11" t="s">
        <v>3220</v>
      </c>
      <c r="K251" s="7" t="s">
        <v>3205</v>
      </c>
      <c r="L251" s="7" t="s">
        <v>3500</v>
      </c>
      <c r="M251" s="12"/>
    </row>
    <row r="252" spans="1:13" ht="15.2" customHeight="1" x14ac:dyDescent="0.2">
      <c r="A252" s="6" t="s">
        <v>2866</v>
      </c>
      <c r="B252" s="7" t="s">
        <v>2867</v>
      </c>
      <c r="C252" s="8">
        <v>1</v>
      </c>
      <c r="D252" s="9">
        <v>24.25</v>
      </c>
      <c r="E252" s="9">
        <v>24.25</v>
      </c>
      <c r="F252" s="10">
        <v>69</v>
      </c>
      <c r="G252" s="9">
        <v>69</v>
      </c>
      <c r="H252" s="8" t="s">
        <v>2868</v>
      </c>
      <c r="I252" s="7" t="s">
        <v>3216</v>
      </c>
      <c r="J252" s="11" t="s">
        <v>3242</v>
      </c>
      <c r="K252" s="7" t="s">
        <v>3217</v>
      </c>
      <c r="L252" s="7" t="s">
        <v>3218</v>
      </c>
      <c r="M252" s="12"/>
    </row>
    <row r="253" spans="1:13" ht="15.2" customHeight="1" x14ac:dyDescent="0.2">
      <c r="A253" s="6" t="s">
        <v>4152</v>
      </c>
      <c r="B253" s="7" t="s">
        <v>4153</v>
      </c>
      <c r="C253" s="8">
        <v>1</v>
      </c>
      <c r="D253" s="9">
        <v>23.8</v>
      </c>
      <c r="E253" s="9">
        <v>23.8</v>
      </c>
      <c r="F253" s="10">
        <v>59.5</v>
      </c>
      <c r="G253" s="9">
        <v>59.5</v>
      </c>
      <c r="H253" s="8" t="s">
        <v>4154</v>
      </c>
      <c r="I253" s="7" t="s">
        <v>3355</v>
      </c>
      <c r="J253" s="11" t="s">
        <v>3202</v>
      </c>
      <c r="K253" s="7" t="s">
        <v>3208</v>
      </c>
      <c r="L253" s="7" t="s">
        <v>3209</v>
      </c>
      <c r="M253" s="12"/>
    </row>
    <row r="254" spans="1:13" ht="15.2" customHeight="1" x14ac:dyDescent="0.2">
      <c r="A254" s="6" t="s">
        <v>2869</v>
      </c>
      <c r="B254" s="7" t="s">
        <v>2870</v>
      </c>
      <c r="C254" s="8">
        <v>1</v>
      </c>
      <c r="D254" s="9">
        <v>23.5</v>
      </c>
      <c r="E254" s="9">
        <v>23.5</v>
      </c>
      <c r="F254" s="10">
        <v>69</v>
      </c>
      <c r="G254" s="9">
        <v>69</v>
      </c>
      <c r="H254" s="8" t="s">
        <v>2871</v>
      </c>
      <c r="I254" s="7"/>
      <c r="J254" s="11" t="s">
        <v>3351</v>
      </c>
      <c r="K254" s="7" t="s">
        <v>3205</v>
      </c>
      <c r="L254" s="7" t="s">
        <v>3206</v>
      </c>
      <c r="M254" s="12"/>
    </row>
    <row r="255" spans="1:13" ht="15.2" customHeight="1" x14ac:dyDescent="0.2">
      <c r="A255" s="6" t="s">
        <v>2872</v>
      </c>
      <c r="B255" s="7" t="s">
        <v>2873</v>
      </c>
      <c r="C255" s="8">
        <v>1</v>
      </c>
      <c r="D255" s="9">
        <v>21.86</v>
      </c>
      <c r="E255" s="9">
        <v>21.86</v>
      </c>
      <c r="F255" s="10">
        <v>59.99</v>
      </c>
      <c r="G255" s="9">
        <v>59.99</v>
      </c>
      <c r="H255" s="8" t="s">
        <v>2874</v>
      </c>
      <c r="I255" s="7" t="s">
        <v>3203</v>
      </c>
      <c r="J255" s="11" t="s">
        <v>3236</v>
      </c>
      <c r="K255" s="7" t="s">
        <v>3221</v>
      </c>
      <c r="L255" s="7" t="s">
        <v>3224</v>
      </c>
      <c r="M255" s="12"/>
    </row>
    <row r="256" spans="1:13" ht="15.2" customHeight="1" x14ac:dyDescent="0.2">
      <c r="A256" s="6" t="s">
        <v>2875</v>
      </c>
      <c r="B256" s="7" t="s">
        <v>2876</v>
      </c>
      <c r="C256" s="8">
        <v>1</v>
      </c>
      <c r="D256" s="9">
        <v>20.85</v>
      </c>
      <c r="E256" s="9">
        <v>20.85</v>
      </c>
      <c r="F256" s="10">
        <v>69.5</v>
      </c>
      <c r="G256" s="9">
        <v>69.5</v>
      </c>
      <c r="H256" s="8">
        <v>60438720</v>
      </c>
      <c r="I256" s="7" t="s">
        <v>3185</v>
      </c>
      <c r="J256" s="11" t="s">
        <v>3220</v>
      </c>
      <c r="K256" s="7" t="s">
        <v>3187</v>
      </c>
      <c r="L256" s="7" t="s">
        <v>3188</v>
      </c>
      <c r="M256" s="12"/>
    </row>
    <row r="257" spans="1:13" ht="15.2" customHeight="1" x14ac:dyDescent="0.2">
      <c r="A257" s="6" t="s">
        <v>3497</v>
      </c>
      <c r="B257" s="7" t="s">
        <v>3498</v>
      </c>
      <c r="C257" s="8">
        <v>1</v>
      </c>
      <c r="D257" s="9">
        <v>20.65</v>
      </c>
      <c r="E257" s="9">
        <v>20.65</v>
      </c>
      <c r="F257" s="10">
        <v>59</v>
      </c>
      <c r="G257" s="9">
        <v>59</v>
      </c>
      <c r="H257" s="8" t="s">
        <v>3499</v>
      </c>
      <c r="I257" s="7" t="s">
        <v>3237</v>
      </c>
      <c r="J257" s="11" t="s">
        <v>3220</v>
      </c>
      <c r="K257" s="7" t="s">
        <v>3217</v>
      </c>
      <c r="L257" s="7" t="s">
        <v>3218</v>
      </c>
      <c r="M257" s="12"/>
    </row>
    <row r="258" spans="1:13" ht="15.2" customHeight="1" x14ac:dyDescent="0.2">
      <c r="A258" s="6" t="s">
        <v>2877</v>
      </c>
      <c r="B258" s="7" t="s">
        <v>2878</v>
      </c>
      <c r="C258" s="8">
        <v>1</v>
      </c>
      <c r="D258" s="9">
        <v>20.52</v>
      </c>
      <c r="E258" s="9">
        <v>20.52</v>
      </c>
      <c r="F258" s="10">
        <v>59.5</v>
      </c>
      <c r="G258" s="9">
        <v>59.5</v>
      </c>
      <c r="H258" s="8" t="s">
        <v>2305</v>
      </c>
      <c r="I258" s="7" t="s">
        <v>3207</v>
      </c>
      <c r="J258" s="11" t="s">
        <v>3220</v>
      </c>
      <c r="K258" s="7" t="s">
        <v>3232</v>
      </c>
      <c r="L258" s="7" t="s">
        <v>3308</v>
      </c>
      <c r="M258" s="12"/>
    </row>
    <row r="259" spans="1:13" ht="15.2" customHeight="1" x14ac:dyDescent="0.2">
      <c r="A259" s="6" t="s">
        <v>2879</v>
      </c>
      <c r="B259" s="7" t="s">
        <v>2880</v>
      </c>
      <c r="C259" s="8">
        <v>1</v>
      </c>
      <c r="D259" s="9">
        <v>19.5</v>
      </c>
      <c r="E259" s="9">
        <v>19.5</v>
      </c>
      <c r="F259" s="10">
        <v>59</v>
      </c>
      <c r="G259" s="9">
        <v>59</v>
      </c>
      <c r="H259" s="8" t="s">
        <v>2456</v>
      </c>
      <c r="I259" s="7" t="s">
        <v>3182</v>
      </c>
      <c r="J259" s="11" t="s">
        <v>3220</v>
      </c>
      <c r="K259" s="7" t="s">
        <v>3205</v>
      </c>
      <c r="L259" s="7" t="s">
        <v>3277</v>
      </c>
      <c r="M259" s="12"/>
    </row>
    <row r="260" spans="1:13" ht="15.2" customHeight="1" x14ac:dyDescent="0.2">
      <c r="A260" s="6" t="s">
        <v>2881</v>
      </c>
      <c r="B260" s="7" t="s">
        <v>2882</v>
      </c>
      <c r="C260" s="8">
        <v>1</v>
      </c>
      <c r="D260" s="9">
        <v>19.04</v>
      </c>
      <c r="E260" s="9">
        <v>19.04</v>
      </c>
      <c r="F260" s="10">
        <v>59.5</v>
      </c>
      <c r="G260" s="9">
        <v>59.5</v>
      </c>
      <c r="H260" s="8">
        <v>49022843</v>
      </c>
      <c r="I260" s="7" t="s">
        <v>3234</v>
      </c>
      <c r="J260" s="11" t="s">
        <v>4011</v>
      </c>
      <c r="K260" s="7" t="s">
        <v>3187</v>
      </c>
      <c r="L260" s="7" t="s">
        <v>3188</v>
      </c>
      <c r="M260" s="12"/>
    </row>
    <row r="261" spans="1:13" ht="15.2" customHeight="1" x14ac:dyDescent="0.2">
      <c r="A261" s="6" t="s">
        <v>2883</v>
      </c>
      <c r="B261" s="7" t="s">
        <v>2884</v>
      </c>
      <c r="C261" s="8">
        <v>1</v>
      </c>
      <c r="D261" s="9">
        <v>19</v>
      </c>
      <c r="E261" s="9">
        <v>19</v>
      </c>
      <c r="F261" s="10">
        <v>59</v>
      </c>
      <c r="G261" s="9">
        <v>59</v>
      </c>
      <c r="H261" s="8" t="s">
        <v>2885</v>
      </c>
      <c r="I261" s="7" t="s">
        <v>3216</v>
      </c>
      <c r="J261" s="11" t="s">
        <v>3236</v>
      </c>
      <c r="K261" s="7" t="s">
        <v>3205</v>
      </c>
      <c r="L261" s="7" t="s">
        <v>3277</v>
      </c>
      <c r="M261" s="12"/>
    </row>
    <row r="262" spans="1:13" ht="15.2" customHeight="1" x14ac:dyDescent="0.2">
      <c r="A262" s="6" t="s">
        <v>4340</v>
      </c>
      <c r="B262" s="7" t="s">
        <v>3763</v>
      </c>
      <c r="C262" s="8">
        <v>1</v>
      </c>
      <c r="D262" s="9">
        <v>18.420000000000002</v>
      </c>
      <c r="E262" s="9">
        <v>18.420000000000002</v>
      </c>
      <c r="F262" s="10">
        <v>49.5</v>
      </c>
      <c r="G262" s="9">
        <v>49.5</v>
      </c>
      <c r="H262" s="8" t="s">
        <v>3764</v>
      </c>
      <c r="I262" s="7" t="s">
        <v>3185</v>
      </c>
      <c r="J262" s="11" t="s">
        <v>3202</v>
      </c>
      <c r="K262" s="7" t="s">
        <v>3232</v>
      </c>
      <c r="L262" s="7" t="s">
        <v>3233</v>
      </c>
      <c r="M262" s="12"/>
    </row>
    <row r="263" spans="1:13" ht="15.2" customHeight="1" x14ac:dyDescent="0.2">
      <c r="A263" s="6" t="s">
        <v>2886</v>
      </c>
      <c r="B263" s="7" t="s">
        <v>2887</v>
      </c>
      <c r="C263" s="8">
        <v>1</v>
      </c>
      <c r="D263" s="9">
        <v>18.12</v>
      </c>
      <c r="E263" s="9">
        <v>18.12</v>
      </c>
      <c r="F263" s="10">
        <v>49.5</v>
      </c>
      <c r="G263" s="9">
        <v>49.5</v>
      </c>
      <c r="H263" s="8" t="s">
        <v>2308</v>
      </c>
      <c r="I263" s="7" t="s">
        <v>3191</v>
      </c>
      <c r="J263" s="11" t="s">
        <v>3195</v>
      </c>
      <c r="K263" s="7" t="s">
        <v>3193</v>
      </c>
      <c r="L263" s="7" t="s">
        <v>3194</v>
      </c>
      <c r="M263" s="12"/>
    </row>
    <row r="264" spans="1:13" ht="15.2" customHeight="1" x14ac:dyDescent="0.2">
      <c r="A264" s="6" t="s">
        <v>2888</v>
      </c>
      <c r="B264" s="7" t="s">
        <v>3509</v>
      </c>
      <c r="C264" s="8">
        <v>1</v>
      </c>
      <c r="D264" s="9">
        <v>18.07</v>
      </c>
      <c r="E264" s="9">
        <v>18.07</v>
      </c>
      <c r="F264" s="10">
        <v>49.5</v>
      </c>
      <c r="G264" s="9">
        <v>49.5</v>
      </c>
      <c r="H264" s="8" t="s">
        <v>3510</v>
      </c>
      <c r="I264" s="7" t="s">
        <v>3252</v>
      </c>
      <c r="J264" s="11" t="s">
        <v>3310</v>
      </c>
      <c r="K264" s="7" t="s">
        <v>3221</v>
      </c>
      <c r="L264" s="7" t="s">
        <v>3224</v>
      </c>
      <c r="M264" s="12"/>
    </row>
    <row r="265" spans="1:13" ht="15.2" customHeight="1" x14ac:dyDescent="0.2">
      <c r="A265" s="6" t="s">
        <v>2889</v>
      </c>
      <c r="B265" s="7" t="s">
        <v>2890</v>
      </c>
      <c r="C265" s="8">
        <v>1</v>
      </c>
      <c r="D265" s="9">
        <v>18.07</v>
      </c>
      <c r="E265" s="9">
        <v>18.07</v>
      </c>
      <c r="F265" s="10">
        <v>49.5</v>
      </c>
      <c r="G265" s="9">
        <v>49.5</v>
      </c>
      <c r="H265" s="8" t="s">
        <v>2891</v>
      </c>
      <c r="I265" s="7" t="s">
        <v>3252</v>
      </c>
      <c r="J265" s="11" t="s">
        <v>3220</v>
      </c>
      <c r="K265" s="7" t="s">
        <v>3221</v>
      </c>
      <c r="L265" s="7" t="s">
        <v>3224</v>
      </c>
      <c r="M265" s="12"/>
    </row>
    <row r="266" spans="1:13" ht="15.2" customHeight="1" x14ac:dyDescent="0.2">
      <c r="A266" s="6" t="s">
        <v>2892</v>
      </c>
      <c r="B266" s="7" t="s">
        <v>2893</v>
      </c>
      <c r="C266" s="8">
        <v>1</v>
      </c>
      <c r="D266" s="9">
        <v>18</v>
      </c>
      <c r="E266" s="9">
        <v>18</v>
      </c>
      <c r="F266" s="10">
        <v>59</v>
      </c>
      <c r="G266" s="9">
        <v>59</v>
      </c>
      <c r="H266" s="8" t="s">
        <v>2894</v>
      </c>
      <c r="I266" s="7" t="s">
        <v>3185</v>
      </c>
      <c r="J266" s="11" t="s">
        <v>3331</v>
      </c>
      <c r="K266" s="7" t="s">
        <v>3205</v>
      </c>
      <c r="L266" s="7" t="s">
        <v>3826</v>
      </c>
      <c r="M266" s="12"/>
    </row>
    <row r="267" spans="1:13" ht="15.2" customHeight="1" x14ac:dyDescent="0.2">
      <c r="A267" s="6" t="s">
        <v>2895</v>
      </c>
      <c r="B267" s="7" t="s">
        <v>2896</v>
      </c>
      <c r="C267" s="8">
        <v>1</v>
      </c>
      <c r="D267" s="9">
        <v>17.850000000000001</v>
      </c>
      <c r="E267" s="9">
        <v>17.850000000000001</v>
      </c>
      <c r="F267" s="10">
        <v>59.5</v>
      </c>
      <c r="G267" s="9">
        <v>59.5</v>
      </c>
      <c r="H267" s="8">
        <v>49022935</v>
      </c>
      <c r="I267" s="7" t="s">
        <v>3185</v>
      </c>
      <c r="J267" s="11" t="s">
        <v>3186</v>
      </c>
      <c r="K267" s="7" t="s">
        <v>3187</v>
      </c>
      <c r="L267" s="7" t="s">
        <v>3188</v>
      </c>
      <c r="M267" s="12"/>
    </row>
    <row r="268" spans="1:13" ht="15.2" customHeight="1" x14ac:dyDescent="0.2">
      <c r="A268" s="6" t="s">
        <v>4346</v>
      </c>
      <c r="B268" s="7" t="s">
        <v>4343</v>
      </c>
      <c r="C268" s="8">
        <v>1</v>
      </c>
      <c r="D268" s="9">
        <v>17.72</v>
      </c>
      <c r="E268" s="9">
        <v>17.72</v>
      </c>
      <c r="F268" s="10">
        <v>49.5</v>
      </c>
      <c r="G268" s="9">
        <v>49.5</v>
      </c>
      <c r="H268" s="8" t="s">
        <v>4344</v>
      </c>
      <c r="I268" s="7" t="s">
        <v>3185</v>
      </c>
      <c r="J268" s="11" t="s">
        <v>3242</v>
      </c>
      <c r="K268" s="7" t="s">
        <v>3232</v>
      </c>
      <c r="L268" s="7" t="s">
        <v>3233</v>
      </c>
      <c r="M268" s="12"/>
    </row>
    <row r="269" spans="1:13" ht="15.2" customHeight="1" x14ac:dyDescent="0.2">
      <c r="A269" s="6" t="s">
        <v>2897</v>
      </c>
      <c r="B269" s="7" t="s">
        <v>2898</v>
      </c>
      <c r="C269" s="8">
        <v>1</v>
      </c>
      <c r="D269" s="9">
        <v>17.59</v>
      </c>
      <c r="E269" s="9">
        <v>17.59</v>
      </c>
      <c r="F269" s="10">
        <v>49.5</v>
      </c>
      <c r="G269" s="9">
        <v>49.5</v>
      </c>
      <c r="H269" s="8" t="s">
        <v>4162</v>
      </c>
      <c r="I269" s="7" t="s">
        <v>3191</v>
      </c>
      <c r="J269" s="11" t="s">
        <v>3211</v>
      </c>
      <c r="K269" s="7" t="s">
        <v>3193</v>
      </c>
      <c r="L269" s="7" t="s">
        <v>3254</v>
      </c>
      <c r="M269" s="12"/>
    </row>
    <row r="270" spans="1:13" ht="15.2" customHeight="1" x14ac:dyDescent="0.2">
      <c r="A270" s="6" t="s">
        <v>2899</v>
      </c>
      <c r="B270" s="7" t="s">
        <v>2900</v>
      </c>
      <c r="C270" s="8">
        <v>1</v>
      </c>
      <c r="D270" s="9">
        <v>17.5</v>
      </c>
      <c r="E270" s="9">
        <v>17.5</v>
      </c>
      <c r="F270" s="10">
        <v>41.99</v>
      </c>
      <c r="G270" s="9">
        <v>41.99</v>
      </c>
      <c r="H270" s="8" t="s">
        <v>2459</v>
      </c>
      <c r="I270" s="7" t="s">
        <v>3185</v>
      </c>
      <c r="J270" s="11" t="s">
        <v>3231</v>
      </c>
      <c r="K270" s="7" t="s">
        <v>3241</v>
      </c>
      <c r="L270" s="7" t="s">
        <v>3632</v>
      </c>
      <c r="M270" s="12"/>
    </row>
    <row r="271" spans="1:13" ht="15.2" customHeight="1" x14ac:dyDescent="0.2">
      <c r="A271" s="6" t="s">
        <v>2901</v>
      </c>
      <c r="B271" s="7" t="s">
        <v>2902</v>
      </c>
      <c r="C271" s="8">
        <v>1</v>
      </c>
      <c r="D271" s="9">
        <v>17.329999999999998</v>
      </c>
      <c r="E271" s="9">
        <v>17.329999999999998</v>
      </c>
      <c r="F271" s="10">
        <v>49.5</v>
      </c>
      <c r="G271" s="9">
        <v>49.5</v>
      </c>
      <c r="H271" s="8" t="s">
        <v>2903</v>
      </c>
      <c r="I271" s="7" t="s">
        <v>3321</v>
      </c>
      <c r="J271" s="11" t="s">
        <v>3186</v>
      </c>
      <c r="K271" s="7" t="s">
        <v>3232</v>
      </c>
      <c r="L271" s="7" t="s">
        <v>3233</v>
      </c>
      <c r="M271" s="12"/>
    </row>
    <row r="272" spans="1:13" ht="15.2" customHeight="1" x14ac:dyDescent="0.2">
      <c r="A272" s="6" t="s">
        <v>2904</v>
      </c>
      <c r="B272" s="7" t="s">
        <v>2905</v>
      </c>
      <c r="C272" s="8">
        <v>1</v>
      </c>
      <c r="D272" s="9">
        <v>17</v>
      </c>
      <c r="E272" s="9">
        <v>17</v>
      </c>
      <c r="F272" s="10">
        <v>41.99</v>
      </c>
      <c r="G272" s="9">
        <v>41.99</v>
      </c>
      <c r="H272" s="8">
        <v>1163236</v>
      </c>
      <c r="I272" s="7" t="s">
        <v>3293</v>
      </c>
      <c r="J272" s="11" t="s">
        <v>3242</v>
      </c>
      <c r="K272" s="7" t="s">
        <v>3241</v>
      </c>
      <c r="L272" s="7" t="s">
        <v>3296</v>
      </c>
      <c r="M272" s="12"/>
    </row>
    <row r="273" spans="1:13" ht="15.2" customHeight="1" x14ac:dyDescent="0.2">
      <c r="A273" s="6" t="s">
        <v>2906</v>
      </c>
      <c r="B273" s="7" t="s">
        <v>2907</v>
      </c>
      <c r="C273" s="8">
        <v>1</v>
      </c>
      <c r="D273" s="9">
        <v>16.91</v>
      </c>
      <c r="E273" s="9">
        <v>16.91</v>
      </c>
      <c r="F273" s="10">
        <v>39.5</v>
      </c>
      <c r="G273" s="9">
        <v>39.5</v>
      </c>
      <c r="H273" s="8" t="s">
        <v>2908</v>
      </c>
      <c r="I273" s="7" t="s">
        <v>3185</v>
      </c>
      <c r="J273" s="11" t="s">
        <v>3236</v>
      </c>
      <c r="K273" s="7" t="s">
        <v>3232</v>
      </c>
      <c r="L273" s="7" t="s">
        <v>3233</v>
      </c>
      <c r="M273" s="12"/>
    </row>
    <row r="274" spans="1:13" ht="15.2" customHeight="1" x14ac:dyDescent="0.2">
      <c r="A274" s="6" t="s">
        <v>2909</v>
      </c>
      <c r="B274" s="7" t="s">
        <v>3512</v>
      </c>
      <c r="C274" s="8">
        <v>1</v>
      </c>
      <c r="D274" s="9">
        <v>16.88</v>
      </c>
      <c r="E274" s="9">
        <v>16.88</v>
      </c>
      <c r="F274" s="10">
        <v>49.5</v>
      </c>
      <c r="G274" s="9">
        <v>49.5</v>
      </c>
      <c r="H274" s="8" t="s">
        <v>3513</v>
      </c>
      <c r="I274" s="7" t="s">
        <v>3252</v>
      </c>
      <c r="J274" s="11" t="s">
        <v>3242</v>
      </c>
      <c r="K274" s="7" t="s">
        <v>3232</v>
      </c>
      <c r="L274" s="7" t="s">
        <v>3308</v>
      </c>
      <c r="M274" s="12"/>
    </row>
    <row r="275" spans="1:13" ht="15.2" customHeight="1" x14ac:dyDescent="0.2">
      <c r="A275" s="6" t="s">
        <v>2910</v>
      </c>
      <c r="B275" s="7" t="s">
        <v>2911</v>
      </c>
      <c r="C275" s="8">
        <v>1</v>
      </c>
      <c r="D275" s="9">
        <v>16.739999999999998</v>
      </c>
      <c r="E275" s="9">
        <v>16.739999999999998</v>
      </c>
      <c r="F275" s="10">
        <v>49</v>
      </c>
      <c r="G275" s="9">
        <v>49</v>
      </c>
      <c r="H275" s="8" t="s">
        <v>3779</v>
      </c>
      <c r="I275" s="7" t="s">
        <v>3394</v>
      </c>
      <c r="J275" s="11" t="s">
        <v>3220</v>
      </c>
      <c r="K275" s="7" t="s">
        <v>3517</v>
      </c>
      <c r="L275" s="7" t="s">
        <v>3518</v>
      </c>
      <c r="M275" s="12"/>
    </row>
    <row r="276" spans="1:13" ht="15.2" customHeight="1" x14ac:dyDescent="0.2">
      <c r="A276" s="6" t="s">
        <v>2912</v>
      </c>
      <c r="B276" s="7" t="s">
        <v>2913</v>
      </c>
      <c r="C276" s="8">
        <v>1</v>
      </c>
      <c r="D276" s="9">
        <v>16.739999999999998</v>
      </c>
      <c r="E276" s="9">
        <v>16.739999999999998</v>
      </c>
      <c r="F276" s="10">
        <v>49</v>
      </c>
      <c r="G276" s="9">
        <v>49</v>
      </c>
      <c r="H276" s="8" t="s">
        <v>2309</v>
      </c>
      <c r="I276" s="7" t="s">
        <v>3185</v>
      </c>
      <c r="J276" s="11" t="s">
        <v>3220</v>
      </c>
      <c r="K276" s="7" t="s">
        <v>3517</v>
      </c>
      <c r="L276" s="7" t="s">
        <v>3518</v>
      </c>
      <c r="M276" s="12"/>
    </row>
    <row r="277" spans="1:13" ht="15.2" customHeight="1" x14ac:dyDescent="0.2">
      <c r="A277" s="6" t="s">
        <v>2310</v>
      </c>
      <c r="B277" s="7" t="s">
        <v>2311</v>
      </c>
      <c r="C277" s="8">
        <v>1</v>
      </c>
      <c r="D277" s="9">
        <v>16.739999999999998</v>
      </c>
      <c r="E277" s="9">
        <v>16.739999999999998</v>
      </c>
      <c r="F277" s="10">
        <v>49</v>
      </c>
      <c r="G277" s="9">
        <v>49</v>
      </c>
      <c r="H277" s="8" t="s">
        <v>2309</v>
      </c>
      <c r="I277" s="7" t="s">
        <v>3185</v>
      </c>
      <c r="J277" s="11" t="s">
        <v>3202</v>
      </c>
      <c r="K277" s="7" t="s">
        <v>3517</v>
      </c>
      <c r="L277" s="7" t="s">
        <v>3518</v>
      </c>
      <c r="M277" s="12"/>
    </row>
    <row r="278" spans="1:13" ht="15.2" customHeight="1" x14ac:dyDescent="0.2">
      <c r="A278" s="6" t="s">
        <v>2914</v>
      </c>
      <c r="B278" s="7" t="s">
        <v>2915</v>
      </c>
      <c r="C278" s="8">
        <v>2</v>
      </c>
      <c r="D278" s="9">
        <v>16.5</v>
      </c>
      <c r="E278" s="9">
        <v>33</v>
      </c>
      <c r="F278" s="10">
        <v>59</v>
      </c>
      <c r="G278" s="9">
        <v>118</v>
      </c>
      <c r="H278" s="8" t="s">
        <v>2916</v>
      </c>
      <c r="I278" s="7" t="s">
        <v>3182</v>
      </c>
      <c r="J278" s="11" t="s">
        <v>3192</v>
      </c>
      <c r="K278" s="7" t="s">
        <v>3281</v>
      </c>
      <c r="L278" s="7" t="s">
        <v>3282</v>
      </c>
      <c r="M278" s="12"/>
    </row>
    <row r="279" spans="1:13" ht="15.2" customHeight="1" x14ac:dyDescent="0.2">
      <c r="A279" s="6" t="s">
        <v>2917</v>
      </c>
      <c r="B279" s="7" t="s">
        <v>2918</v>
      </c>
      <c r="C279" s="8">
        <v>1</v>
      </c>
      <c r="D279" s="9">
        <v>16.5</v>
      </c>
      <c r="E279" s="9">
        <v>16.5</v>
      </c>
      <c r="F279" s="10">
        <v>39.99</v>
      </c>
      <c r="G279" s="9">
        <v>39.99</v>
      </c>
      <c r="H279" s="8" t="s">
        <v>2919</v>
      </c>
      <c r="I279" s="7" t="s">
        <v>3911</v>
      </c>
      <c r="J279" s="11" t="s">
        <v>3220</v>
      </c>
      <c r="K279" s="7" t="s">
        <v>3241</v>
      </c>
      <c r="L279" s="7" t="s">
        <v>3663</v>
      </c>
      <c r="M279" s="12"/>
    </row>
    <row r="280" spans="1:13" ht="15.2" customHeight="1" x14ac:dyDescent="0.2">
      <c r="A280" s="6" t="s">
        <v>2920</v>
      </c>
      <c r="B280" s="7" t="s">
        <v>2921</v>
      </c>
      <c r="C280" s="8">
        <v>1</v>
      </c>
      <c r="D280" s="9">
        <v>16.32</v>
      </c>
      <c r="E280" s="9">
        <v>16.32</v>
      </c>
      <c r="F280" s="10">
        <v>44.5</v>
      </c>
      <c r="G280" s="9">
        <v>44.5</v>
      </c>
      <c r="H280" s="8" t="s">
        <v>2922</v>
      </c>
      <c r="I280" s="7" t="s">
        <v>3339</v>
      </c>
      <c r="J280" s="11" t="s">
        <v>3220</v>
      </c>
      <c r="K280" s="7" t="s">
        <v>3232</v>
      </c>
      <c r="L280" s="7" t="s">
        <v>3233</v>
      </c>
      <c r="M280" s="12"/>
    </row>
    <row r="281" spans="1:13" ht="15.2" customHeight="1" x14ac:dyDescent="0.2">
      <c r="A281" s="6" t="s">
        <v>2923</v>
      </c>
      <c r="B281" s="7" t="s">
        <v>3519</v>
      </c>
      <c r="C281" s="8">
        <v>1</v>
      </c>
      <c r="D281" s="9">
        <v>16.239999999999998</v>
      </c>
      <c r="E281" s="9">
        <v>16.239999999999998</v>
      </c>
      <c r="F281" s="10">
        <v>44.5</v>
      </c>
      <c r="G281" s="9">
        <v>44.5</v>
      </c>
      <c r="H281" s="8" t="s">
        <v>3520</v>
      </c>
      <c r="I281" s="7" t="s">
        <v>3191</v>
      </c>
      <c r="J281" s="11" t="s">
        <v>3331</v>
      </c>
      <c r="K281" s="7" t="s">
        <v>3221</v>
      </c>
      <c r="L281" s="7" t="s">
        <v>3224</v>
      </c>
      <c r="M281" s="12"/>
    </row>
    <row r="282" spans="1:13" ht="15.2" customHeight="1" x14ac:dyDescent="0.2">
      <c r="A282" s="6" t="s">
        <v>2924</v>
      </c>
      <c r="B282" s="7" t="s">
        <v>2925</v>
      </c>
      <c r="C282" s="8">
        <v>1</v>
      </c>
      <c r="D282" s="9">
        <v>16</v>
      </c>
      <c r="E282" s="9">
        <v>16</v>
      </c>
      <c r="F282" s="10">
        <v>49</v>
      </c>
      <c r="G282" s="9">
        <v>49</v>
      </c>
      <c r="H282" s="8">
        <v>49425</v>
      </c>
      <c r="I282" s="7" t="s">
        <v>3185</v>
      </c>
      <c r="J282" s="11" t="s">
        <v>3486</v>
      </c>
      <c r="K282" s="7" t="s">
        <v>3205</v>
      </c>
      <c r="L282" s="7" t="s">
        <v>3215</v>
      </c>
      <c r="M282" s="12"/>
    </row>
    <row r="283" spans="1:13" ht="15.2" customHeight="1" x14ac:dyDescent="0.2">
      <c r="A283" s="6" t="s">
        <v>3523</v>
      </c>
      <c r="B283" s="7" t="s">
        <v>3524</v>
      </c>
      <c r="C283" s="8">
        <v>1</v>
      </c>
      <c r="D283" s="9">
        <v>16</v>
      </c>
      <c r="E283" s="9">
        <v>16</v>
      </c>
      <c r="F283" s="10">
        <v>59</v>
      </c>
      <c r="G283" s="9">
        <v>59</v>
      </c>
      <c r="H283" s="8" t="s">
        <v>3522</v>
      </c>
      <c r="I283" s="7" t="s">
        <v>3203</v>
      </c>
      <c r="J283" s="11" t="s">
        <v>3213</v>
      </c>
      <c r="K283" s="7" t="s">
        <v>3281</v>
      </c>
      <c r="L283" s="7" t="s">
        <v>3521</v>
      </c>
      <c r="M283" s="12"/>
    </row>
    <row r="284" spans="1:13" ht="15.2" customHeight="1" x14ac:dyDescent="0.2">
      <c r="A284" s="6" t="s">
        <v>2926</v>
      </c>
      <c r="B284" s="7" t="s">
        <v>2927</v>
      </c>
      <c r="C284" s="8">
        <v>1</v>
      </c>
      <c r="D284" s="9">
        <v>16</v>
      </c>
      <c r="E284" s="9">
        <v>16</v>
      </c>
      <c r="F284" s="10">
        <v>59</v>
      </c>
      <c r="G284" s="9">
        <v>59</v>
      </c>
      <c r="H284" s="8" t="s">
        <v>3522</v>
      </c>
      <c r="I284" s="7" t="s">
        <v>3185</v>
      </c>
      <c r="J284" s="11" t="s">
        <v>3213</v>
      </c>
      <c r="K284" s="7" t="s">
        <v>3281</v>
      </c>
      <c r="L284" s="7" t="s">
        <v>3521</v>
      </c>
      <c r="M284" s="12"/>
    </row>
    <row r="285" spans="1:13" ht="15.2" customHeight="1" x14ac:dyDescent="0.2">
      <c r="A285" s="6" t="s">
        <v>2928</v>
      </c>
      <c r="B285" s="7" t="s">
        <v>2929</v>
      </c>
      <c r="C285" s="8">
        <v>1</v>
      </c>
      <c r="D285" s="9">
        <v>15.93</v>
      </c>
      <c r="E285" s="9">
        <v>15.93</v>
      </c>
      <c r="F285" s="10">
        <v>44.5</v>
      </c>
      <c r="G285" s="9">
        <v>44.5</v>
      </c>
      <c r="H285" s="8" t="s">
        <v>2930</v>
      </c>
      <c r="I285" s="7" t="s">
        <v>3257</v>
      </c>
      <c r="J285" s="11" t="s">
        <v>2197</v>
      </c>
      <c r="K285" s="7" t="s">
        <v>3221</v>
      </c>
      <c r="L285" s="7" t="s">
        <v>3224</v>
      </c>
      <c r="M285" s="12"/>
    </row>
    <row r="286" spans="1:13" ht="15.2" customHeight="1" x14ac:dyDescent="0.2">
      <c r="A286" s="6" t="s">
        <v>2931</v>
      </c>
      <c r="B286" s="7" t="s">
        <v>2932</v>
      </c>
      <c r="C286" s="8">
        <v>1</v>
      </c>
      <c r="D286" s="9">
        <v>15.5</v>
      </c>
      <c r="E286" s="9">
        <v>15.5</v>
      </c>
      <c r="F286" s="10">
        <v>34.99</v>
      </c>
      <c r="G286" s="9">
        <v>34.99</v>
      </c>
      <c r="H286" s="8" t="s">
        <v>2933</v>
      </c>
      <c r="I286" s="7" t="s">
        <v>3185</v>
      </c>
      <c r="J286" s="11" t="s">
        <v>3202</v>
      </c>
      <c r="K286" s="7" t="s">
        <v>3241</v>
      </c>
      <c r="L286" s="7" t="s">
        <v>3206</v>
      </c>
      <c r="M286" s="12"/>
    </row>
    <row r="287" spans="1:13" ht="15.2" customHeight="1" x14ac:dyDescent="0.2">
      <c r="A287" s="6" t="s">
        <v>2934</v>
      </c>
      <c r="B287" s="7" t="s">
        <v>2935</v>
      </c>
      <c r="C287" s="8">
        <v>1</v>
      </c>
      <c r="D287" s="9">
        <v>15.25</v>
      </c>
      <c r="E287" s="9">
        <v>15.25</v>
      </c>
      <c r="F287" s="10">
        <v>44</v>
      </c>
      <c r="G287" s="9">
        <v>44</v>
      </c>
      <c r="H287" s="8" t="s">
        <v>2316</v>
      </c>
      <c r="I287" s="7" t="s">
        <v>3246</v>
      </c>
      <c r="J287" s="11" t="s">
        <v>3202</v>
      </c>
      <c r="K287" s="7" t="s">
        <v>3217</v>
      </c>
      <c r="L287" s="7" t="s">
        <v>3218</v>
      </c>
      <c r="M287" s="12"/>
    </row>
    <row r="288" spans="1:13" ht="15.2" customHeight="1" x14ac:dyDescent="0.2">
      <c r="A288" s="6" t="s">
        <v>4172</v>
      </c>
      <c r="B288" s="7" t="s">
        <v>4026</v>
      </c>
      <c r="C288" s="8">
        <v>1</v>
      </c>
      <c r="D288" s="9">
        <v>15.05</v>
      </c>
      <c r="E288" s="9">
        <v>15.05</v>
      </c>
      <c r="F288" s="10">
        <v>39.5</v>
      </c>
      <c r="G288" s="9">
        <v>39.5</v>
      </c>
      <c r="H288" s="8" t="s">
        <v>4027</v>
      </c>
      <c r="I288" s="7" t="s">
        <v>3191</v>
      </c>
      <c r="J288" s="11" t="s">
        <v>3231</v>
      </c>
      <c r="K288" s="7" t="s">
        <v>3221</v>
      </c>
      <c r="L288" s="7" t="s">
        <v>3224</v>
      </c>
      <c r="M288" s="12"/>
    </row>
    <row r="289" spans="1:13" ht="15.2" customHeight="1" x14ac:dyDescent="0.2">
      <c r="A289" s="6" t="s">
        <v>2460</v>
      </c>
      <c r="B289" s="7" t="s">
        <v>2461</v>
      </c>
      <c r="C289" s="8">
        <v>1</v>
      </c>
      <c r="D289" s="9">
        <v>15</v>
      </c>
      <c r="E289" s="9">
        <v>15</v>
      </c>
      <c r="F289" s="10">
        <v>49</v>
      </c>
      <c r="G289" s="9">
        <v>49</v>
      </c>
      <c r="H289" s="8" t="s">
        <v>2462</v>
      </c>
      <c r="I289" s="7" t="s">
        <v>3185</v>
      </c>
      <c r="J289" s="11" t="s">
        <v>3202</v>
      </c>
      <c r="K289" s="7" t="s">
        <v>3205</v>
      </c>
      <c r="L289" s="7" t="s">
        <v>3261</v>
      </c>
      <c r="M289" s="12"/>
    </row>
    <row r="290" spans="1:13" ht="15.2" customHeight="1" x14ac:dyDescent="0.2">
      <c r="A290" s="6" t="s">
        <v>2936</v>
      </c>
      <c r="B290" s="7" t="s">
        <v>2937</v>
      </c>
      <c r="C290" s="8">
        <v>1</v>
      </c>
      <c r="D290" s="9">
        <v>15</v>
      </c>
      <c r="E290" s="9">
        <v>15</v>
      </c>
      <c r="F290" s="10">
        <v>45</v>
      </c>
      <c r="G290" s="9">
        <v>45</v>
      </c>
      <c r="H290" s="8" t="s">
        <v>2317</v>
      </c>
      <c r="I290" s="7" t="s">
        <v>3252</v>
      </c>
      <c r="J290" s="11" t="s">
        <v>3240</v>
      </c>
      <c r="K290" s="7" t="s">
        <v>3295</v>
      </c>
      <c r="L290" s="7" t="s">
        <v>3296</v>
      </c>
      <c r="M290" s="12"/>
    </row>
    <row r="291" spans="1:13" ht="15.2" customHeight="1" x14ac:dyDescent="0.2">
      <c r="A291" s="6" t="s">
        <v>4028</v>
      </c>
      <c r="B291" s="7" t="s">
        <v>4029</v>
      </c>
      <c r="C291" s="8">
        <v>1</v>
      </c>
      <c r="D291" s="9">
        <v>15</v>
      </c>
      <c r="E291" s="9">
        <v>15</v>
      </c>
      <c r="F291" s="10">
        <v>34.99</v>
      </c>
      <c r="G291" s="9">
        <v>34.99</v>
      </c>
      <c r="H291" s="8" t="s">
        <v>4030</v>
      </c>
      <c r="I291" s="7" t="s">
        <v>3252</v>
      </c>
      <c r="J291" s="11" t="s">
        <v>3186</v>
      </c>
      <c r="K291" s="7" t="s">
        <v>3241</v>
      </c>
      <c r="L291" s="7" t="s">
        <v>3826</v>
      </c>
      <c r="M291" s="12"/>
    </row>
    <row r="292" spans="1:13" ht="15.2" customHeight="1" x14ac:dyDescent="0.2">
      <c r="A292" s="6" t="s">
        <v>2938</v>
      </c>
      <c r="B292" s="7" t="s">
        <v>3525</v>
      </c>
      <c r="C292" s="8">
        <v>2</v>
      </c>
      <c r="D292" s="9">
        <v>14.65</v>
      </c>
      <c r="E292" s="9">
        <v>29.3</v>
      </c>
      <c r="F292" s="10">
        <v>34.99</v>
      </c>
      <c r="G292" s="9">
        <v>69.98</v>
      </c>
      <c r="H292" s="8" t="s">
        <v>3526</v>
      </c>
      <c r="I292" s="7" t="s">
        <v>3185</v>
      </c>
      <c r="J292" s="11" t="s">
        <v>3202</v>
      </c>
      <c r="K292" s="7" t="s">
        <v>3300</v>
      </c>
      <c r="L292" s="7" t="s">
        <v>3301</v>
      </c>
      <c r="M292" s="12"/>
    </row>
    <row r="293" spans="1:13" ht="15.2" customHeight="1" x14ac:dyDescent="0.2">
      <c r="A293" s="6" t="s">
        <v>2939</v>
      </c>
      <c r="B293" s="7" t="s">
        <v>2940</v>
      </c>
      <c r="C293" s="8">
        <v>1</v>
      </c>
      <c r="D293" s="9">
        <v>14.65</v>
      </c>
      <c r="E293" s="9">
        <v>14.65</v>
      </c>
      <c r="F293" s="10">
        <v>34.99</v>
      </c>
      <c r="G293" s="9">
        <v>34.99</v>
      </c>
      <c r="H293" s="8" t="s">
        <v>2941</v>
      </c>
      <c r="I293" s="7" t="s">
        <v>3263</v>
      </c>
      <c r="J293" s="11" t="s">
        <v>3242</v>
      </c>
      <c r="K293" s="7" t="s">
        <v>3300</v>
      </c>
      <c r="L293" s="7" t="s">
        <v>3301</v>
      </c>
      <c r="M293" s="12"/>
    </row>
    <row r="294" spans="1:13" ht="15.2" customHeight="1" x14ac:dyDescent="0.2">
      <c r="A294" s="6" t="s">
        <v>2942</v>
      </c>
      <c r="B294" s="7" t="s">
        <v>2940</v>
      </c>
      <c r="C294" s="8">
        <v>1</v>
      </c>
      <c r="D294" s="9">
        <v>14.65</v>
      </c>
      <c r="E294" s="9">
        <v>14.65</v>
      </c>
      <c r="F294" s="10">
        <v>34.99</v>
      </c>
      <c r="G294" s="9">
        <v>34.99</v>
      </c>
      <c r="H294" s="8" t="s">
        <v>2941</v>
      </c>
      <c r="I294" s="7" t="s">
        <v>3263</v>
      </c>
      <c r="J294" s="11" t="s">
        <v>3220</v>
      </c>
      <c r="K294" s="7" t="s">
        <v>3300</v>
      </c>
      <c r="L294" s="7" t="s">
        <v>3301</v>
      </c>
      <c r="M294" s="12"/>
    </row>
    <row r="295" spans="1:13" ht="15.2" customHeight="1" x14ac:dyDescent="0.2">
      <c r="A295" s="6" t="s">
        <v>2318</v>
      </c>
      <c r="B295" s="7" t="s">
        <v>4351</v>
      </c>
      <c r="C295" s="8">
        <v>1</v>
      </c>
      <c r="D295" s="9">
        <v>14.5</v>
      </c>
      <c r="E295" s="9">
        <v>14.5</v>
      </c>
      <c r="F295" s="10">
        <v>39.5</v>
      </c>
      <c r="G295" s="9">
        <v>39.5</v>
      </c>
      <c r="H295" s="8" t="s">
        <v>4352</v>
      </c>
      <c r="I295" s="7" t="s">
        <v>3252</v>
      </c>
      <c r="J295" s="11" t="s">
        <v>3186</v>
      </c>
      <c r="K295" s="7" t="s">
        <v>3221</v>
      </c>
      <c r="L295" s="7" t="s">
        <v>3224</v>
      </c>
      <c r="M295" s="12"/>
    </row>
    <row r="296" spans="1:13" ht="15.2" customHeight="1" x14ac:dyDescent="0.2">
      <c r="A296" s="6" t="s">
        <v>2319</v>
      </c>
      <c r="B296" s="7" t="s">
        <v>4351</v>
      </c>
      <c r="C296" s="8">
        <v>1</v>
      </c>
      <c r="D296" s="9">
        <v>14.5</v>
      </c>
      <c r="E296" s="9">
        <v>14.5</v>
      </c>
      <c r="F296" s="10">
        <v>39.5</v>
      </c>
      <c r="G296" s="9">
        <v>39.5</v>
      </c>
      <c r="H296" s="8" t="s">
        <v>4352</v>
      </c>
      <c r="I296" s="7" t="s">
        <v>3252</v>
      </c>
      <c r="J296" s="11" t="s">
        <v>3202</v>
      </c>
      <c r="K296" s="7" t="s">
        <v>3221</v>
      </c>
      <c r="L296" s="7" t="s">
        <v>3224</v>
      </c>
      <c r="M296" s="12"/>
    </row>
    <row r="297" spans="1:13" ht="15.2" customHeight="1" x14ac:dyDescent="0.2">
      <c r="A297" s="6" t="s">
        <v>3528</v>
      </c>
      <c r="B297" s="7" t="s">
        <v>3529</v>
      </c>
      <c r="C297" s="8">
        <v>1</v>
      </c>
      <c r="D297" s="9">
        <v>14.5</v>
      </c>
      <c r="E297" s="9">
        <v>14.5</v>
      </c>
      <c r="F297" s="10">
        <v>39.5</v>
      </c>
      <c r="G297" s="9">
        <v>39.5</v>
      </c>
      <c r="H297" s="8" t="s">
        <v>3527</v>
      </c>
      <c r="I297" s="7" t="s">
        <v>3185</v>
      </c>
      <c r="J297" s="11" t="s">
        <v>3220</v>
      </c>
      <c r="K297" s="7" t="s">
        <v>3232</v>
      </c>
      <c r="L297" s="7" t="s">
        <v>3233</v>
      </c>
      <c r="M297" s="12"/>
    </row>
    <row r="298" spans="1:13" ht="15.2" customHeight="1" x14ac:dyDescent="0.2">
      <c r="A298" s="6" t="s">
        <v>2943</v>
      </c>
      <c r="B298" s="7" t="s">
        <v>3536</v>
      </c>
      <c r="C298" s="8">
        <v>1</v>
      </c>
      <c r="D298" s="9">
        <v>14.42</v>
      </c>
      <c r="E298" s="9">
        <v>14.42</v>
      </c>
      <c r="F298" s="10">
        <v>39.5</v>
      </c>
      <c r="G298" s="9">
        <v>39.5</v>
      </c>
      <c r="H298" s="8" t="s">
        <v>3537</v>
      </c>
      <c r="I298" s="7" t="s">
        <v>3257</v>
      </c>
      <c r="J298" s="11" t="s">
        <v>3220</v>
      </c>
      <c r="K298" s="7" t="s">
        <v>3221</v>
      </c>
      <c r="L298" s="7" t="s">
        <v>3224</v>
      </c>
      <c r="M298" s="12"/>
    </row>
    <row r="299" spans="1:13" ht="15.2" customHeight="1" x14ac:dyDescent="0.2">
      <c r="A299" s="6" t="s">
        <v>2944</v>
      </c>
      <c r="B299" s="7" t="s">
        <v>2945</v>
      </c>
      <c r="C299" s="8">
        <v>1</v>
      </c>
      <c r="D299" s="9">
        <v>14.42</v>
      </c>
      <c r="E299" s="9">
        <v>14.42</v>
      </c>
      <c r="F299" s="10">
        <v>39.5</v>
      </c>
      <c r="G299" s="9">
        <v>39.5</v>
      </c>
      <c r="H299" s="8" t="s">
        <v>3546</v>
      </c>
      <c r="I299" s="7" t="s">
        <v>3185</v>
      </c>
      <c r="J299" s="11" t="s">
        <v>3231</v>
      </c>
      <c r="K299" s="7" t="s">
        <v>3221</v>
      </c>
      <c r="L299" s="7" t="s">
        <v>3224</v>
      </c>
      <c r="M299" s="12"/>
    </row>
    <row r="300" spans="1:13" ht="15.2" customHeight="1" x14ac:dyDescent="0.2">
      <c r="A300" s="6" t="s">
        <v>2465</v>
      </c>
      <c r="B300" s="7" t="s">
        <v>3536</v>
      </c>
      <c r="C300" s="8">
        <v>1</v>
      </c>
      <c r="D300" s="9">
        <v>14.42</v>
      </c>
      <c r="E300" s="9">
        <v>14.42</v>
      </c>
      <c r="F300" s="10">
        <v>39.5</v>
      </c>
      <c r="G300" s="9">
        <v>39.5</v>
      </c>
      <c r="H300" s="8" t="s">
        <v>3537</v>
      </c>
      <c r="I300" s="7" t="s">
        <v>3257</v>
      </c>
      <c r="J300" s="11" t="s">
        <v>3231</v>
      </c>
      <c r="K300" s="7" t="s">
        <v>3221</v>
      </c>
      <c r="L300" s="7" t="s">
        <v>3224</v>
      </c>
      <c r="M300" s="12"/>
    </row>
    <row r="301" spans="1:13" ht="15.2" customHeight="1" x14ac:dyDescent="0.2">
      <c r="A301" s="6" t="s">
        <v>2946</v>
      </c>
      <c r="B301" s="7" t="s">
        <v>2947</v>
      </c>
      <c r="C301" s="8">
        <v>1</v>
      </c>
      <c r="D301" s="9">
        <v>14.42</v>
      </c>
      <c r="E301" s="9">
        <v>14.42</v>
      </c>
      <c r="F301" s="10">
        <v>39.5</v>
      </c>
      <c r="G301" s="9">
        <v>39.5</v>
      </c>
      <c r="H301" s="8" t="s">
        <v>2948</v>
      </c>
      <c r="I301" s="7" t="s">
        <v>3286</v>
      </c>
      <c r="J301" s="11" t="s">
        <v>3202</v>
      </c>
      <c r="K301" s="7" t="s">
        <v>3221</v>
      </c>
      <c r="L301" s="7" t="s">
        <v>3224</v>
      </c>
      <c r="M301" s="12"/>
    </row>
    <row r="302" spans="1:13" ht="15.2" customHeight="1" x14ac:dyDescent="0.2">
      <c r="A302" s="6" t="s">
        <v>2949</v>
      </c>
      <c r="B302" s="7" t="s">
        <v>2950</v>
      </c>
      <c r="C302" s="8">
        <v>1</v>
      </c>
      <c r="D302" s="9">
        <v>14.05</v>
      </c>
      <c r="E302" s="9">
        <v>14.05</v>
      </c>
      <c r="F302" s="10">
        <v>39.99</v>
      </c>
      <c r="G302" s="9">
        <v>39.99</v>
      </c>
      <c r="H302" s="8" t="s">
        <v>2951</v>
      </c>
      <c r="I302" s="7" t="s">
        <v>3185</v>
      </c>
      <c r="J302" s="11" t="s">
        <v>3202</v>
      </c>
      <c r="K302" s="7" t="s">
        <v>3221</v>
      </c>
      <c r="L302" s="7" t="s">
        <v>3250</v>
      </c>
      <c r="M302" s="12"/>
    </row>
    <row r="303" spans="1:13" ht="15.2" customHeight="1" x14ac:dyDescent="0.2">
      <c r="A303" s="6" t="s">
        <v>2952</v>
      </c>
      <c r="B303" s="7" t="s">
        <v>2953</v>
      </c>
      <c r="C303" s="8">
        <v>1</v>
      </c>
      <c r="D303" s="9">
        <v>12.5</v>
      </c>
      <c r="E303" s="9">
        <v>12.5</v>
      </c>
      <c r="F303" s="10">
        <v>29.99</v>
      </c>
      <c r="G303" s="9">
        <v>29.99</v>
      </c>
      <c r="H303" s="8">
        <v>804412</v>
      </c>
      <c r="I303" s="7" t="s">
        <v>3377</v>
      </c>
      <c r="J303" s="11" t="s">
        <v>3231</v>
      </c>
      <c r="K303" s="7" t="s">
        <v>3241</v>
      </c>
      <c r="L303" s="7" t="s">
        <v>4087</v>
      </c>
      <c r="M303" s="12"/>
    </row>
    <row r="304" spans="1:13" ht="15.2" customHeight="1" x14ac:dyDescent="0.2">
      <c r="A304" s="6" t="s">
        <v>2954</v>
      </c>
      <c r="B304" s="7" t="s">
        <v>2955</v>
      </c>
      <c r="C304" s="8">
        <v>1</v>
      </c>
      <c r="D304" s="9">
        <v>12.08</v>
      </c>
      <c r="E304" s="9">
        <v>12.08</v>
      </c>
      <c r="F304" s="10">
        <v>27.99</v>
      </c>
      <c r="G304" s="9">
        <v>27.99</v>
      </c>
      <c r="H304" s="8" t="s">
        <v>3556</v>
      </c>
      <c r="I304" s="7" t="s">
        <v>3185</v>
      </c>
      <c r="J304" s="11" t="s">
        <v>3242</v>
      </c>
      <c r="K304" s="7" t="s">
        <v>3343</v>
      </c>
      <c r="L304" s="7" t="s">
        <v>3354</v>
      </c>
      <c r="M304" s="12"/>
    </row>
    <row r="305" spans="1:13" ht="15.2" customHeight="1" x14ac:dyDescent="0.2">
      <c r="A305" s="6" t="s">
        <v>2956</v>
      </c>
      <c r="B305" s="7" t="s">
        <v>2957</v>
      </c>
      <c r="C305" s="8">
        <v>1</v>
      </c>
      <c r="D305" s="9">
        <v>12</v>
      </c>
      <c r="E305" s="9">
        <v>12</v>
      </c>
      <c r="F305" s="10">
        <v>28.99</v>
      </c>
      <c r="G305" s="9">
        <v>28.99</v>
      </c>
      <c r="H305" s="8" t="s">
        <v>2958</v>
      </c>
      <c r="I305" s="7" t="s">
        <v>3203</v>
      </c>
      <c r="J305" s="11" t="s">
        <v>3186</v>
      </c>
      <c r="K305" s="7" t="s">
        <v>3241</v>
      </c>
      <c r="L305" s="7" t="s">
        <v>3826</v>
      </c>
      <c r="M305" s="12"/>
    </row>
    <row r="306" spans="1:13" ht="15.2" customHeight="1" x14ac:dyDescent="0.2">
      <c r="A306" s="6" t="s">
        <v>2959</v>
      </c>
      <c r="B306" s="7" t="s">
        <v>2960</v>
      </c>
      <c r="C306" s="8">
        <v>1</v>
      </c>
      <c r="D306" s="9">
        <v>12</v>
      </c>
      <c r="E306" s="9">
        <v>12</v>
      </c>
      <c r="F306" s="10">
        <v>25.99</v>
      </c>
      <c r="G306" s="9">
        <v>25.99</v>
      </c>
      <c r="H306" s="8" t="s">
        <v>2961</v>
      </c>
      <c r="I306" s="7" t="s">
        <v>3989</v>
      </c>
      <c r="J306" s="11" t="s">
        <v>3351</v>
      </c>
      <c r="K306" s="7" t="s">
        <v>3326</v>
      </c>
      <c r="L306" s="7" t="s">
        <v>3282</v>
      </c>
      <c r="M306" s="12"/>
    </row>
    <row r="307" spans="1:13" ht="15.2" customHeight="1" x14ac:dyDescent="0.2">
      <c r="A307" s="6" t="s">
        <v>2962</v>
      </c>
      <c r="B307" s="7" t="s">
        <v>2963</v>
      </c>
      <c r="C307" s="8">
        <v>1</v>
      </c>
      <c r="D307" s="9">
        <v>12</v>
      </c>
      <c r="E307" s="9">
        <v>12</v>
      </c>
      <c r="F307" s="10">
        <v>39</v>
      </c>
      <c r="G307" s="9">
        <v>39</v>
      </c>
      <c r="H307" s="8" t="s">
        <v>2964</v>
      </c>
      <c r="I307" s="7" t="s">
        <v>3185</v>
      </c>
      <c r="J307" s="11" t="s">
        <v>3242</v>
      </c>
      <c r="K307" s="7" t="s">
        <v>3295</v>
      </c>
      <c r="L307" s="7" t="s">
        <v>3296</v>
      </c>
      <c r="M307" s="12"/>
    </row>
    <row r="308" spans="1:13" ht="15.2" customHeight="1" x14ac:dyDescent="0.2">
      <c r="A308" s="6" t="s">
        <v>2965</v>
      </c>
      <c r="B308" s="7" t="s">
        <v>2966</v>
      </c>
      <c r="C308" s="8">
        <v>1</v>
      </c>
      <c r="D308" s="9">
        <v>12</v>
      </c>
      <c r="E308" s="9">
        <v>12</v>
      </c>
      <c r="F308" s="10">
        <v>39</v>
      </c>
      <c r="G308" s="9">
        <v>39</v>
      </c>
      <c r="H308" s="8" t="s">
        <v>2967</v>
      </c>
      <c r="I308" s="7" t="s">
        <v>3252</v>
      </c>
      <c r="J308" s="11" t="s">
        <v>3186</v>
      </c>
      <c r="K308" s="7" t="s">
        <v>3295</v>
      </c>
      <c r="L308" s="7" t="s">
        <v>3296</v>
      </c>
      <c r="M308" s="12"/>
    </row>
    <row r="309" spans="1:13" ht="15.2" customHeight="1" x14ac:dyDescent="0.2">
      <c r="A309" s="6" t="s">
        <v>2968</v>
      </c>
      <c r="B309" s="7" t="s">
        <v>2969</v>
      </c>
      <c r="C309" s="8">
        <v>2</v>
      </c>
      <c r="D309" s="9">
        <v>11.25</v>
      </c>
      <c r="E309" s="9">
        <v>22.5</v>
      </c>
      <c r="F309" s="10">
        <v>49</v>
      </c>
      <c r="G309" s="9">
        <v>98</v>
      </c>
      <c r="H309" s="8" t="s">
        <v>3557</v>
      </c>
      <c r="I309" s="7" t="s">
        <v>3321</v>
      </c>
      <c r="J309" s="11" t="s">
        <v>3213</v>
      </c>
      <c r="K309" s="7" t="s">
        <v>3281</v>
      </c>
      <c r="L309" s="7" t="s">
        <v>3345</v>
      </c>
      <c r="M309" s="12"/>
    </row>
    <row r="310" spans="1:13" ht="15.2" customHeight="1" x14ac:dyDescent="0.2">
      <c r="A310" s="6" t="s">
        <v>2970</v>
      </c>
      <c r="B310" s="7" t="s">
        <v>2971</v>
      </c>
      <c r="C310" s="8">
        <v>1</v>
      </c>
      <c r="D310" s="9">
        <v>11.25</v>
      </c>
      <c r="E310" s="9">
        <v>11.25</v>
      </c>
      <c r="F310" s="10">
        <v>49</v>
      </c>
      <c r="G310" s="9">
        <v>49</v>
      </c>
      <c r="H310" s="8" t="s">
        <v>3557</v>
      </c>
      <c r="I310" s="7" t="s">
        <v>3185</v>
      </c>
      <c r="J310" s="11" t="s">
        <v>3213</v>
      </c>
      <c r="K310" s="7" t="s">
        <v>3281</v>
      </c>
      <c r="L310" s="7" t="s">
        <v>3345</v>
      </c>
      <c r="M310" s="12"/>
    </row>
    <row r="311" spans="1:13" ht="15.2" customHeight="1" x14ac:dyDescent="0.2">
      <c r="A311" s="6" t="s">
        <v>3791</v>
      </c>
      <c r="B311" s="7" t="s">
        <v>3792</v>
      </c>
      <c r="C311" s="8">
        <v>1</v>
      </c>
      <c r="D311" s="9">
        <v>11.25</v>
      </c>
      <c r="E311" s="9">
        <v>11.25</v>
      </c>
      <c r="F311" s="10">
        <v>49</v>
      </c>
      <c r="G311" s="9">
        <v>49</v>
      </c>
      <c r="H311" s="8" t="s">
        <v>3557</v>
      </c>
      <c r="I311" s="7" t="s">
        <v>3321</v>
      </c>
      <c r="J311" s="11" t="s">
        <v>3229</v>
      </c>
      <c r="K311" s="7" t="s">
        <v>3281</v>
      </c>
      <c r="L311" s="7" t="s">
        <v>3345</v>
      </c>
      <c r="M311" s="12"/>
    </row>
    <row r="312" spans="1:13" ht="15.2" customHeight="1" x14ac:dyDescent="0.2">
      <c r="A312" s="6" t="s">
        <v>2972</v>
      </c>
      <c r="B312" s="7" t="s">
        <v>2973</v>
      </c>
      <c r="C312" s="8">
        <v>1</v>
      </c>
      <c r="D312" s="9">
        <v>11</v>
      </c>
      <c r="E312" s="9">
        <v>11</v>
      </c>
      <c r="F312" s="10">
        <v>27.99</v>
      </c>
      <c r="G312" s="9">
        <v>27.99</v>
      </c>
      <c r="H312" s="8" t="s">
        <v>2974</v>
      </c>
      <c r="I312" s="7" t="s">
        <v>3237</v>
      </c>
      <c r="J312" s="11" t="s">
        <v>3220</v>
      </c>
      <c r="K312" s="7" t="s">
        <v>3343</v>
      </c>
      <c r="L312" s="7" t="s">
        <v>3367</v>
      </c>
      <c r="M312" s="12"/>
    </row>
    <row r="313" spans="1:13" ht="15.2" customHeight="1" x14ac:dyDescent="0.2">
      <c r="A313" s="6" t="s">
        <v>3558</v>
      </c>
      <c r="B313" s="7" t="s">
        <v>3559</v>
      </c>
      <c r="C313" s="8">
        <v>1</v>
      </c>
      <c r="D313" s="9">
        <v>11</v>
      </c>
      <c r="E313" s="9">
        <v>11</v>
      </c>
      <c r="F313" s="10">
        <v>27.99</v>
      </c>
      <c r="G313" s="9">
        <v>27.99</v>
      </c>
      <c r="H313" s="8" t="s">
        <v>3560</v>
      </c>
      <c r="I313" s="7" t="s">
        <v>3321</v>
      </c>
      <c r="J313" s="11" t="s">
        <v>3231</v>
      </c>
      <c r="K313" s="7" t="s">
        <v>3343</v>
      </c>
      <c r="L313" s="7" t="s">
        <v>3561</v>
      </c>
      <c r="M313" s="12"/>
    </row>
    <row r="314" spans="1:13" ht="15.2" customHeight="1" x14ac:dyDescent="0.2">
      <c r="A314" s="6" t="s">
        <v>4370</v>
      </c>
      <c r="B314" s="7" t="s">
        <v>4371</v>
      </c>
      <c r="C314" s="8">
        <v>2</v>
      </c>
      <c r="D314" s="9">
        <v>11</v>
      </c>
      <c r="E314" s="9">
        <v>22</v>
      </c>
      <c r="F314" s="10">
        <v>27.99</v>
      </c>
      <c r="G314" s="9">
        <v>55.98</v>
      </c>
      <c r="H314" s="8" t="s">
        <v>4367</v>
      </c>
      <c r="I314" s="7" t="s">
        <v>3214</v>
      </c>
      <c r="J314" s="11" t="s">
        <v>3186</v>
      </c>
      <c r="K314" s="7" t="s">
        <v>3343</v>
      </c>
      <c r="L314" s="7" t="s">
        <v>3367</v>
      </c>
      <c r="M314" s="12"/>
    </row>
    <row r="315" spans="1:13" ht="15.2" customHeight="1" x14ac:dyDescent="0.2">
      <c r="A315" s="6" t="s">
        <v>2975</v>
      </c>
      <c r="B315" s="7" t="s">
        <v>2976</v>
      </c>
      <c r="C315" s="8">
        <v>1</v>
      </c>
      <c r="D315" s="9">
        <v>11</v>
      </c>
      <c r="E315" s="9">
        <v>11</v>
      </c>
      <c r="F315" s="10">
        <v>27.99</v>
      </c>
      <c r="G315" s="9">
        <v>27.99</v>
      </c>
      <c r="H315" s="8" t="s">
        <v>2974</v>
      </c>
      <c r="I315" s="7" t="s">
        <v>3237</v>
      </c>
      <c r="J315" s="11" t="s">
        <v>3231</v>
      </c>
      <c r="K315" s="7" t="s">
        <v>3343</v>
      </c>
      <c r="L315" s="7" t="s">
        <v>3367</v>
      </c>
      <c r="M315" s="12"/>
    </row>
    <row r="316" spans="1:13" ht="15.2" customHeight="1" x14ac:dyDescent="0.2">
      <c r="A316" s="6" t="s">
        <v>2977</v>
      </c>
      <c r="B316" s="7" t="s">
        <v>2978</v>
      </c>
      <c r="C316" s="8">
        <v>1</v>
      </c>
      <c r="D316" s="9">
        <v>11</v>
      </c>
      <c r="E316" s="9">
        <v>11</v>
      </c>
      <c r="F316" s="10">
        <v>27.99</v>
      </c>
      <c r="G316" s="9">
        <v>27.99</v>
      </c>
      <c r="H316" s="8" t="s">
        <v>3560</v>
      </c>
      <c r="I316" s="7" t="s">
        <v>3321</v>
      </c>
      <c r="J316" s="11" t="s">
        <v>3220</v>
      </c>
      <c r="K316" s="7" t="s">
        <v>3343</v>
      </c>
      <c r="L316" s="7" t="s">
        <v>3561</v>
      </c>
      <c r="M316" s="12"/>
    </row>
    <row r="317" spans="1:13" ht="15.2" customHeight="1" x14ac:dyDescent="0.2">
      <c r="A317" s="6" t="s">
        <v>2979</v>
      </c>
      <c r="B317" s="7" t="s">
        <v>2980</v>
      </c>
      <c r="C317" s="8">
        <v>1</v>
      </c>
      <c r="D317" s="9">
        <v>11</v>
      </c>
      <c r="E317" s="9">
        <v>11</v>
      </c>
      <c r="F317" s="10">
        <v>27.99</v>
      </c>
      <c r="G317" s="9">
        <v>27.99</v>
      </c>
      <c r="H317" s="8" t="s">
        <v>3560</v>
      </c>
      <c r="I317" s="7" t="s">
        <v>3321</v>
      </c>
      <c r="J317" s="11" t="s">
        <v>3202</v>
      </c>
      <c r="K317" s="7" t="s">
        <v>3343</v>
      </c>
      <c r="L317" s="7" t="s">
        <v>3561</v>
      </c>
      <c r="M317" s="12"/>
    </row>
    <row r="318" spans="1:13" ht="15.2" customHeight="1" x14ac:dyDescent="0.2">
      <c r="A318" s="6" t="s">
        <v>3793</v>
      </c>
      <c r="B318" s="7" t="s">
        <v>3794</v>
      </c>
      <c r="C318" s="8">
        <v>1</v>
      </c>
      <c r="D318" s="9">
        <v>11</v>
      </c>
      <c r="E318" s="9">
        <v>11</v>
      </c>
      <c r="F318" s="10">
        <v>27.99</v>
      </c>
      <c r="G318" s="9">
        <v>27.99</v>
      </c>
      <c r="H318" s="8" t="s">
        <v>3560</v>
      </c>
      <c r="I318" s="7" t="s">
        <v>3490</v>
      </c>
      <c r="J318" s="11" t="s">
        <v>3186</v>
      </c>
      <c r="K318" s="7" t="s">
        <v>3343</v>
      </c>
      <c r="L318" s="7" t="s">
        <v>3561</v>
      </c>
      <c r="M318" s="12"/>
    </row>
    <row r="319" spans="1:13" ht="15.2" customHeight="1" x14ac:dyDescent="0.2">
      <c r="A319" s="6" t="s">
        <v>3796</v>
      </c>
      <c r="B319" s="7" t="s">
        <v>3797</v>
      </c>
      <c r="C319" s="8">
        <v>1</v>
      </c>
      <c r="D319" s="9">
        <v>11</v>
      </c>
      <c r="E319" s="9">
        <v>11</v>
      </c>
      <c r="F319" s="10">
        <v>27.99</v>
      </c>
      <c r="G319" s="9">
        <v>27.99</v>
      </c>
      <c r="H319" s="8" t="s">
        <v>3795</v>
      </c>
      <c r="I319" s="7" t="s">
        <v>3234</v>
      </c>
      <c r="J319" s="11" t="s">
        <v>3202</v>
      </c>
      <c r="K319" s="7" t="s">
        <v>3343</v>
      </c>
      <c r="L319" s="7" t="s">
        <v>3367</v>
      </c>
      <c r="M319" s="12"/>
    </row>
    <row r="320" spans="1:13" ht="15.2" customHeight="1" x14ac:dyDescent="0.2">
      <c r="A320" s="6" t="s">
        <v>2981</v>
      </c>
      <c r="B320" s="7" t="s">
        <v>2982</v>
      </c>
      <c r="C320" s="8">
        <v>1</v>
      </c>
      <c r="D320" s="9">
        <v>11</v>
      </c>
      <c r="E320" s="9">
        <v>11</v>
      </c>
      <c r="F320" s="10">
        <v>27.99</v>
      </c>
      <c r="G320" s="9">
        <v>27.99</v>
      </c>
      <c r="H320" s="8" t="s">
        <v>3560</v>
      </c>
      <c r="I320" s="7" t="s">
        <v>3490</v>
      </c>
      <c r="J320" s="11" t="s">
        <v>3242</v>
      </c>
      <c r="K320" s="7" t="s">
        <v>3343</v>
      </c>
      <c r="L320" s="7" t="s">
        <v>3561</v>
      </c>
      <c r="M320" s="12"/>
    </row>
    <row r="321" spans="1:13" ht="15.2" customHeight="1" x14ac:dyDescent="0.2">
      <c r="A321" s="6" t="s">
        <v>2983</v>
      </c>
      <c r="B321" s="7" t="s">
        <v>2984</v>
      </c>
      <c r="C321" s="8">
        <v>2</v>
      </c>
      <c r="D321" s="9">
        <v>11</v>
      </c>
      <c r="E321" s="9">
        <v>22</v>
      </c>
      <c r="F321" s="10">
        <v>27.99</v>
      </c>
      <c r="G321" s="9">
        <v>55.98</v>
      </c>
      <c r="H321" s="8" t="s">
        <v>3560</v>
      </c>
      <c r="I321" s="7" t="s">
        <v>3490</v>
      </c>
      <c r="J321" s="11" t="s">
        <v>3202</v>
      </c>
      <c r="K321" s="7" t="s">
        <v>3343</v>
      </c>
      <c r="L321" s="7" t="s">
        <v>3561</v>
      </c>
      <c r="M321" s="12"/>
    </row>
    <row r="322" spans="1:13" ht="15.2" customHeight="1" x14ac:dyDescent="0.2">
      <c r="A322" s="6" t="s">
        <v>3798</v>
      </c>
      <c r="B322" s="7" t="s">
        <v>3799</v>
      </c>
      <c r="C322" s="8">
        <v>1</v>
      </c>
      <c r="D322" s="9">
        <v>11</v>
      </c>
      <c r="E322" s="9">
        <v>11</v>
      </c>
      <c r="F322" s="10">
        <v>27.99</v>
      </c>
      <c r="G322" s="9">
        <v>27.99</v>
      </c>
      <c r="H322" s="8" t="s">
        <v>3795</v>
      </c>
      <c r="I322" s="7" t="s">
        <v>3234</v>
      </c>
      <c r="J322" s="11" t="s">
        <v>3186</v>
      </c>
      <c r="K322" s="7" t="s">
        <v>3343</v>
      </c>
      <c r="L322" s="7" t="s">
        <v>3367</v>
      </c>
      <c r="M322" s="12"/>
    </row>
    <row r="323" spans="1:13" ht="15.2" customHeight="1" x14ac:dyDescent="0.2">
      <c r="A323" s="6" t="s">
        <v>2985</v>
      </c>
      <c r="B323" s="7" t="s">
        <v>2986</v>
      </c>
      <c r="C323" s="8">
        <v>2</v>
      </c>
      <c r="D323" s="9">
        <v>11</v>
      </c>
      <c r="E323" s="9">
        <v>22</v>
      </c>
      <c r="F323" s="10">
        <v>27.99</v>
      </c>
      <c r="G323" s="9">
        <v>55.98</v>
      </c>
      <c r="H323" s="8" t="s">
        <v>3560</v>
      </c>
      <c r="I323" s="7" t="s">
        <v>3390</v>
      </c>
      <c r="J323" s="11" t="s">
        <v>3220</v>
      </c>
      <c r="K323" s="7" t="s">
        <v>3343</v>
      </c>
      <c r="L323" s="7" t="s">
        <v>3561</v>
      </c>
      <c r="M323" s="12"/>
    </row>
    <row r="324" spans="1:13" ht="15.2" customHeight="1" x14ac:dyDescent="0.2">
      <c r="A324" s="6" t="s">
        <v>3562</v>
      </c>
      <c r="B324" s="7" t="s">
        <v>3563</v>
      </c>
      <c r="C324" s="8">
        <v>1</v>
      </c>
      <c r="D324" s="9">
        <v>10.87</v>
      </c>
      <c r="E324" s="9">
        <v>10.87</v>
      </c>
      <c r="F324" s="10">
        <v>29.5</v>
      </c>
      <c r="G324" s="9">
        <v>29.5</v>
      </c>
      <c r="H324" s="8" t="s">
        <v>3564</v>
      </c>
      <c r="I324" s="7" t="s">
        <v>3252</v>
      </c>
      <c r="J324" s="11" t="s">
        <v>3186</v>
      </c>
      <c r="K324" s="7" t="s">
        <v>3221</v>
      </c>
      <c r="L324" s="7" t="s">
        <v>3224</v>
      </c>
      <c r="M324" s="12"/>
    </row>
    <row r="325" spans="1:13" ht="15.2" customHeight="1" x14ac:dyDescent="0.2">
      <c r="A325" s="6" t="s">
        <v>2987</v>
      </c>
      <c r="B325" s="7" t="s">
        <v>2988</v>
      </c>
      <c r="C325" s="8">
        <v>1</v>
      </c>
      <c r="D325" s="9">
        <v>10.77</v>
      </c>
      <c r="E325" s="9">
        <v>10.77</v>
      </c>
      <c r="F325" s="10">
        <v>29.5</v>
      </c>
      <c r="G325" s="9">
        <v>29.5</v>
      </c>
      <c r="H325" s="8" t="s">
        <v>2989</v>
      </c>
      <c r="I325" s="7" t="s">
        <v>3185</v>
      </c>
      <c r="J325" s="11" t="s">
        <v>3186</v>
      </c>
      <c r="K325" s="7" t="s">
        <v>3221</v>
      </c>
      <c r="L325" s="7" t="s">
        <v>3250</v>
      </c>
      <c r="M325" s="12"/>
    </row>
    <row r="326" spans="1:13" ht="15.2" customHeight="1" x14ac:dyDescent="0.2">
      <c r="A326" s="6" t="s">
        <v>4037</v>
      </c>
      <c r="B326" s="7" t="s">
        <v>4038</v>
      </c>
      <c r="C326" s="8">
        <v>1</v>
      </c>
      <c r="D326" s="9">
        <v>10.77</v>
      </c>
      <c r="E326" s="9">
        <v>10.77</v>
      </c>
      <c r="F326" s="10">
        <v>29.5</v>
      </c>
      <c r="G326" s="9">
        <v>29.5</v>
      </c>
      <c r="H326" s="8" t="s">
        <v>4039</v>
      </c>
      <c r="I326" s="7" t="s">
        <v>3191</v>
      </c>
      <c r="J326" s="11" t="s">
        <v>3231</v>
      </c>
      <c r="K326" s="7" t="s">
        <v>3221</v>
      </c>
      <c r="L326" s="7" t="s">
        <v>3224</v>
      </c>
      <c r="M326" s="12"/>
    </row>
    <row r="327" spans="1:13" ht="15.2" customHeight="1" x14ac:dyDescent="0.2">
      <c r="A327" s="6" t="s">
        <v>2990</v>
      </c>
      <c r="B327" s="7" t="s">
        <v>4038</v>
      </c>
      <c r="C327" s="8">
        <v>1</v>
      </c>
      <c r="D327" s="9">
        <v>10.77</v>
      </c>
      <c r="E327" s="9">
        <v>10.77</v>
      </c>
      <c r="F327" s="10">
        <v>29.5</v>
      </c>
      <c r="G327" s="9">
        <v>29.5</v>
      </c>
      <c r="H327" s="8" t="s">
        <v>4039</v>
      </c>
      <c r="I327" s="7" t="s">
        <v>3191</v>
      </c>
      <c r="J327" s="11" t="s">
        <v>3220</v>
      </c>
      <c r="K327" s="7" t="s">
        <v>3221</v>
      </c>
      <c r="L327" s="7" t="s">
        <v>3224</v>
      </c>
      <c r="M327" s="12"/>
    </row>
    <row r="328" spans="1:13" ht="15.2" customHeight="1" x14ac:dyDescent="0.2">
      <c r="A328" s="6" t="s">
        <v>2991</v>
      </c>
      <c r="B328" s="7" t="s">
        <v>2988</v>
      </c>
      <c r="C328" s="8">
        <v>1</v>
      </c>
      <c r="D328" s="9">
        <v>10.77</v>
      </c>
      <c r="E328" s="9">
        <v>10.77</v>
      </c>
      <c r="F328" s="10">
        <v>29.5</v>
      </c>
      <c r="G328" s="9">
        <v>29.5</v>
      </c>
      <c r="H328" s="8" t="s">
        <v>2989</v>
      </c>
      <c r="I328" s="7" t="s">
        <v>3185</v>
      </c>
      <c r="J328" s="11" t="s">
        <v>3242</v>
      </c>
      <c r="K328" s="7" t="s">
        <v>3221</v>
      </c>
      <c r="L328" s="7" t="s">
        <v>3250</v>
      </c>
      <c r="M328" s="12"/>
    </row>
    <row r="329" spans="1:13" ht="15.2" customHeight="1" x14ac:dyDescent="0.2">
      <c r="A329" s="6" t="s">
        <v>2992</v>
      </c>
      <c r="B329" s="7" t="s">
        <v>2993</v>
      </c>
      <c r="C329" s="8">
        <v>1</v>
      </c>
      <c r="D329" s="9">
        <v>10.5</v>
      </c>
      <c r="E329" s="9">
        <v>10.5</v>
      </c>
      <c r="F329" s="10">
        <v>24.99</v>
      </c>
      <c r="G329" s="9">
        <v>24.99</v>
      </c>
      <c r="H329" s="8" t="s">
        <v>3567</v>
      </c>
      <c r="I329" s="7" t="s">
        <v>3216</v>
      </c>
      <c r="J329" s="11" t="s">
        <v>3220</v>
      </c>
      <c r="K329" s="7" t="s">
        <v>3300</v>
      </c>
      <c r="L329" s="7" t="s">
        <v>3301</v>
      </c>
      <c r="M329" s="12"/>
    </row>
    <row r="330" spans="1:13" ht="15.2" customHeight="1" x14ac:dyDescent="0.2">
      <c r="A330" s="6" t="s">
        <v>2994</v>
      </c>
      <c r="B330" s="7" t="s">
        <v>2995</v>
      </c>
      <c r="C330" s="8">
        <v>1</v>
      </c>
      <c r="D330" s="9">
        <v>10.5</v>
      </c>
      <c r="E330" s="9">
        <v>10.5</v>
      </c>
      <c r="F330" s="10">
        <v>24.99</v>
      </c>
      <c r="G330" s="9">
        <v>24.99</v>
      </c>
      <c r="H330" s="8" t="s">
        <v>3803</v>
      </c>
      <c r="I330" s="7" t="s">
        <v>3421</v>
      </c>
      <c r="J330" s="11" t="s">
        <v>3220</v>
      </c>
      <c r="K330" s="7" t="s">
        <v>3343</v>
      </c>
      <c r="L330" s="7" t="s">
        <v>3356</v>
      </c>
      <c r="M330" s="12"/>
    </row>
    <row r="331" spans="1:13" ht="15.2" customHeight="1" x14ac:dyDescent="0.2">
      <c r="A331" s="6" t="s">
        <v>2331</v>
      </c>
      <c r="B331" s="7" t="s">
        <v>2332</v>
      </c>
      <c r="C331" s="8">
        <v>1</v>
      </c>
      <c r="D331" s="9">
        <v>10</v>
      </c>
      <c r="E331" s="9">
        <v>10</v>
      </c>
      <c r="F331" s="10">
        <v>24.99</v>
      </c>
      <c r="G331" s="9">
        <v>24.99</v>
      </c>
      <c r="H331" s="8" t="s">
        <v>4380</v>
      </c>
      <c r="I331" s="7" t="s">
        <v>3381</v>
      </c>
      <c r="J331" s="11" t="s">
        <v>3202</v>
      </c>
      <c r="K331" s="7" t="s">
        <v>3343</v>
      </c>
      <c r="L331" s="7" t="s">
        <v>3324</v>
      </c>
      <c r="M331" s="12"/>
    </row>
    <row r="332" spans="1:13" ht="15.2" customHeight="1" x14ac:dyDescent="0.2">
      <c r="A332" s="6" t="s">
        <v>2996</v>
      </c>
      <c r="B332" s="7" t="s">
        <v>2997</v>
      </c>
      <c r="C332" s="8">
        <v>1</v>
      </c>
      <c r="D332" s="9">
        <v>10</v>
      </c>
      <c r="E332" s="9">
        <v>10</v>
      </c>
      <c r="F332" s="10">
        <v>24.99</v>
      </c>
      <c r="G332" s="9">
        <v>24.99</v>
      </c>
      <c r="H332" s="8">
        <v>57482</v>
      </c>
      <c r="I332" s="7"/>
      <c r="J332" s="11" t="s">
        <v>3220</v>
      </c>
      <c r="K332" s="7" t="s">
        <v>3343</v>
      </c>
      <c r="L332" s="7" t="s">
        <v>3367</v>
      </c>
      <c r="M332" s="12"/>
    </row>
    <row r="333" spans="1:13" ht="15.2" customHeight="1" x14ac:dyDescent="0.2">
      <c r="A333" s="6" t="s">
        <v>4374</v>
      </c>
      <c r="B333" s="7" t="s">
        <v>4375</v>
      </c>
      <c r="C333" s="8">
        <v>3</v>
      </c>
      <c r="D333" s="9">
        <v>10</v>
      </c>
      <c r="E333" s="9">
        <v>30</v>
      </c>
      <c r="F333" s="10">
        <v>24.99</v>
      </c>
      <c r="G333" s="9">
        <v>74.97</v>
      </c>
      <c r="H333" s="8" t="s">
        <v>4376</v>
      </c>
      <c r="I333" s="7" t="s">
        <v>4377</v>
      </c>
      <c r="J333" s="11" t="s">
        <v>3202</v>
      </c>
      <c r="K333" s="7" t="s">
        <v>3323</v>
      </c>
      <c r="L333" s="7" t="s">
        <v>3418</v>
      </c>
      <c r="M333" s="12"/>
    </row>
    <row r="334" spans="1:13" ht="15.2" customHeight="1" x14ac:dyDescent="0.2">
      <c r="A334" s="6" t="s">
        <v>2466</v>
      </c>
      <c r="B334" s="7" t="s">
        <v>2467</v>
      </c>
      <c r="C334" s="8">
        <v>1</v>
      </c>
      <c r="D334" s="9">
        <v>10</v>
      </c>
      <c r="E334" s="9">
        <v>10</v>
      </c>
      <c r="F334" s="10">
        <v>24.99</v>
      </c>
      <c r="G334" s="9">
        <v>24.99</v>
      </c>
      <c r="H334" s="8" t="s">
        <v>4380</v>
      </c>
      <c r="I334" s="7" t="s">
        <v>3288</v>
      </c>
      <c r="J334" s="11" t="s">
        <v>3220</v>
      </c>
      <c r="K334" s="7" t="s">
        <v>3343</v>
      </c>
      <c r="L334" s="7" t="s">
        <v>3324</v>
      </c>
      <c r="M334" s="12"/>
    </row>
    <row r="335" spans="1:13" ht="15.2" customHeight="1" x14ac:dyDescent="0.2">
      <c r="A335" s="6" t="s">
        <v>2998</v>
      </c>
      <c r="B335" s="7" t="s">
        <v>2999</v>
      </c>
      <c r="C335" s="8">
        <v>1</v>
      </c>
      <c r="D335" s="9">
        <v>9.8000000000000007</v>
      </c>
      <c r="E335" s="9">
        <v>9.8000000000000007</v>
      </c>
      <c r="F335" s="10">
        <v>19.989999999999998</v>
      </c>
      <c r="G335" s="9">
        <v>19.989999999999998</v>
      </c>
      <c r="H335" s="8" t="s">
        <v>3812</v>
      </c>
      <c r="I335" s="7" t="s">
        <v>3432</v>
      </c>
      <c r="J335" s="11" t="s">
        <v>3220</v>
      </c>
      <c r="K335" s="7" t="s">
        <v>3323</v>
      </c>
      <c r="L335" s="7" t="s">
        <v>3344</v>
      </c>
      <c r="M335" s="12"/>
    </row>
    <row r="336" spans="1:13" ht="15.2" customHeight="1" x14ac:dyDescent="0.2">
      <c r="A336" s="6" t="s">
        <v>3000</v>
      </c>
      <c r="B336" s="7" t="s">
        <v>3001</v>
      </c>
      <c r="C336" s="8">
        <v>2</v>
      </c>
      <c r="D336" s="9">
        <v>9.8000000000000007</v>
      </c>
      <c r="E336" s="9">
        <v>19.600000000000001</v>
      </c>
      <c r="F336" s="10">
        <v>19.989999999999998</v>
      </c>
      <c r="G336" s="9">
        <v>39.979999999999997</v>
      </c>
      <c r="H336" s="8" t="s">
        <v>3809</v>
      </c>
      <c r="I336" s="7" t="s">
        <v>3321</v>
      </c>
      <c r="J336" s="11" t="s">
        <v>3220</v>
      </c>
      <c r="K336" s="7" t="s">
        <v>3323</v>
      </c>
      <c r="L336" s="7" t="s">
        <v>3344</v>
      </c>
      <c r="M336" s="12"/>
    </row>
    <row r="337" spans="1:13" ht="15.2" customHeight="1" x14ac:dyDescent="0.2">
      <c r="A337" s="6" t="s">
        <v>3807</v>
      </c>
      <c r="B337" s="7" t="s">
        <v>3808</v>
      </c>
      <c r="C337" s="8">
        <v>1</v>
      </c>
      <c r="D337" s="9">
        <v>9.8000000000000007</v>
      </c>
      <c r="E337" s="9">
        <v>9.8000000000000007</v>
      </c>
      <c r="F337" s="10">
        <v>19.989999999999998</v>
      </c>
      <c r="G337" s="9">
        <v>19.989999999999998</v>
      </c>
      <c r="H337" s="8" t="s">
        <v>3809</v>
      </c>
      <c r="I337" s="7" t="s">
        <v>3321</v>
      </c>
      <c r="J337" s="11" t="s">
        <v>3202</v>
      </c>
      <c r="K337" s="7" t="s">
        <v>3323</v>
      </c>
      <c r="L337" s="7" t="s">
        <v>3344</v>
      </c>
      <c r="M337" s="12"/>
    </row>
    <row r="338" spans="1:13" ht="15.2" customHeight="1" x14ac:dyDescent="0.2">
      <c r="A338" s="6" t="s">
        <v>3002</v>
      </c>
      <c r="B338" s="7" t="s">
        <v>3003</v>
      </c>
      <c r="C338" s="8">
        <v>1</v>
      </c>
      <c r="D338" s="9">
        <v>9.8000000000000007</v>
      </c>
      <c r="E338" s="9">
        <v>9.8000000000000007</v>
      </c>
      <c r="F338" s="10">
        <v>19.989999999999998</v>
      </c>
      <c r="G338" s="9">
        <v>19.989999999999998</v>
      </c>
      <c r="H338" s="8" t="s">
        <v>3004</v>
      </c>
      <c r="I338" s="7" t="s">
        <v>3210</v>
      </c>
      <c r="J338" s="11" t="s">
        <v>3220</v>
      </c>
      <c r="K338" s="7" t="s">
        <v>3323</v>
      </c>
      <c r="L338" s="7" t="s">
        <v>3344</v>
      </c>
      <c r="M338" s="12"/>
    </row>
    <row r="339" spans="1:13" ht="15.2" customHeight="1" x14ac:dyDescent="0.2">
      <c r="A339" s="6" t="s">
        <v>3005</v>
      </c>
      <c r="B339" s="7" t="s">
        <v>3006</v>
      </c>
      <c r="C339" s="8">
        <v>1</v>
      </c>
      <c r="D339" s="9">
        <v>9.8000000000000007</v>
      </c>
      <c r="E339" s="9">
        <v>9.8000000000000007</v>
      </c>
      <c r="F339" s="10">
        <v>19.989999999999998</v>
      </c>
      <c r="G339" s="9">
        <v>19.989999999999998</v>
      </c>
      <c r="H339" s="8" t="s">
        <v>4040</v>
      </c>
      <c r="I339" s="7" t="s">
        <v>3234</v>
      </c>
      <c r="J339" s="11" t="s">
        <v>3202</v>
      </c>
      <c r="K339" s="7" t="s">
        <v>3323</v>
      </c>
      <c r="L339" s="7" t="s">
        <v>3344</v>
      </c>
      <c r="M339" s="12"/>
    </row>
    <row r="340" spans="1:13" ht="15.2" customHeight="1" x14ac:dyDescent="0.2">
      <c r="A340" s="6" t="s">
        <v>3007</v>
      </c>
      <c r="B340" s="7" t="s">
        <v>3008</v>
      </c>
      <c r="C340" s="8">
        <v>2</v>
      </c>
      <c r="D340" s="9">
        <v>9.8000000000000007</v>
      </c>
      <c r="E340" s="9">
        <v>19.600000000000001</v>
      </c>
      <c r="F340" s="10">
        <v>19.989999999999998</v>
      </c>
      <c r="G340" s="9">
        <v>39.979999999999997</v>
      </c>
      <c r="H340" s="8" t="s">
        <v>3809</v>
      </c>
      <c r="I340" s="7" t="s">
        <v>3321</v>
      </c>
      <c r="J340" s="11" t="s">
        <v>3242</v>
      </c>
      <c r="K340" s="7" t="s">
        <v>3323</v>
      </c>
      <c r="L340" s="7" t="s">
        <v>3344</v>
      </c>
      <c r="M340" s="12"/>
    </row>
    <row r="341" spans="1:13" ht="15.2" customHeight="1" x14ac:dyDescent="0.2">
      <c r="A341" s="6" t="s">
        <v>3810</v>
      </c>
      <c r="B341" s="7" t="s">
        <v>3811</v>
      </c>
      <c r="C341" s="8">
        <v>3</v>
      </c>
      <c r="D341" s="9">
        <v>9.8000000000000007</v>
      </c>
      <c r="E341" s="9">
        <v>29.4</v>
      </c>
      <c r="F341" s="10">
        <v>19.989999999999998</v>
      </c>
      <c r="G341" s="9">
        <v>59.97</v>
      </c>
      <c r="H341" s="8" t="s">
        <v>3812</v>
      </c>
      <c r="I341" s="7" t="s">
        <v>3432</v>
      </c>
      <c r="J341" s="11" t="s">
        <v>3202</v>
      </c>
      <c r="K341" s="7" t="s">
        <v>3323</v>
      </c>
      <c r="L341" s="7" t="s">
        <v>3344</v>
      </c>
      <c r="M341" s="12"/>
    </row>
    <row r="342" spans="1:13" ht="15.2" customHeight="1" x14ac:dyDescent="0.2">
      <c r="A342" s="6" t="s">
        <v>3009</v>
      </c>
      <c r="B342" s="7" t="s">
        <v>3010</v>
      </c>
      <c r="C342" s="8">
        <v>1</v>
      </c>
      <c r="D342" s="9">
        <v>9.25</v>
      </c>
      <c r="E342" s="9">
        <v>9.25</v>
      </c>
      <c r="F342" s="10">
        <v>22.99</v>
      </c>
      <c r="G342" s="9">
        <v>22.99</v>
      </c>
      <c r="H342" s="8" t="s">
        <v>4185</v>
      </c>
      <c r="I342" s="7" t="s">
        <v>3203</v>
      </c>
      <c r="J342" s="11" t="s">
        <v>3202</v>
      </c>
      <c r="K342" s="7" t="s">
        <v>3241</v>
      </c>
      <c r="L342" s="7" t="s">
        <v>3371</v>
      </c>
      <c r="M342" s="12"/>
    </row>
    <row r="343" spans="1:13" ht="15.2" customHeight="1" x14ac:dyDescent="0.2">
      <c r="A343" s="6" t="s">
        <v>3011</v>
      </c>
      <c r="B343" s="7" t="s">
        <v>3012</v>
      </c>
      <c r="C343" s="8">
        <v>1</v>
      </c>
      <c r="D343" s="9">
        <v>9.25</v>
      </c>
      <c r="E343" s="9">
        <v>9.25</v>
      </c>
      <c r="F343" s="10">
        <v>22.99</v>
      </c>
      <c r="G343" s="9">
        <v>22.99</v>
      </c>
      <c r="H343" s="8" t="s">
        <v>4185</v>
      </c>
      <c r="I343" s="7" t="s">
        <v>3185</v>
      </c>
      <c r="J343" s="11" t="s">
        <v>3186</v>
      </c>
      <c r="K343" s="7" t="s">
        <v>3241</v>
      </c>
      <c r="L343" s="7" t="s">
        <v>3371</v>
      </c>
      <c r="M343" s="12"/>
    </row>
    <row r="344" spans="1:13" ht="15.2" customHeight="1" x14ac:dyDescent="0.2">
      <c r="A344" s="6" t="s">
        <v>3013</v>
      </c>
      <c r="B344" s="7" t="s">
        <v>3014</v>
      </c>
      <c r="C344" s="8">
        <v>1</v>
      </c>
      <c r="D344" s="9">
        <v>9.25</v>
      </c>
      <c r="E344" s="9">
        <v>9.25</v>
      </c>
      <c r="F344" s="10">
        <v>22.99</v>
      </c>
      <c r="G344" s="9">
        <v>22.99</v>
      </c>
      <c r="H344" s="8" t="s">
        <v>4185</v>
      </c>
      <c r="I344" s="7" t="s">
        <v>3185</v>
      </c>
      <c r="J344" s="11" t="s">
        <v>3236</v>
      </c>
      <c r="K344" s="7" t="s">
        <v>3241</v>
      </c>
      <c r="L344" s="7" t="s">
        <v>3371</v>
      </c>
      <c r="M344" s="12"/>
    </row>
    <row r="345" spans="1:13" ht="15.2" customHeight="1" x14ac:dyDescent="0.2">
      <c r="A345" s="6" t="s">
        <v>3015</v>
      </c>
      <c r="B345" s="7" t="s">
        <v>3016</v>
      </c>
      <c r="C345" s="8">
        <v>1</v>
      </c>
      <c r="D345" s="9">
        <v>9.24</v>
      </c>
      <c r="E345" s="9">
        <v>9.24</v>
      </c>
      <c r="F345" s="10">
        <v>21.99</v>
      </c>
      <c r="G345" s="9">
        <v>21.99</v>
      </c>
      <c r="H345" s="8" t="s">
        <v>3017</v>
      </c>
      <c r="I345" s="7" t="s">
        <v>3185</v>
      </c>
      <c r="J345" s="11" t="s">
        <v>3186</v>
      </c>
      <c r="K345" s="7" t="s">
        <v>3300</v>
      </c>
      <c r="L345" s="7" t="s">
        <v>3301</v>
      </c>
      <c r="M345" s="12"/>
    </row>
    <row r="346" spans="1:13" ht="15.2" customHeight="1" x14ac:dyDescent="0.2">
      <c r="A346" s="6" t="s">
        <v>3018</v>
      </c>
      <c r="B346" s="7" t="s">
        <v>3019</v>
      </c>
      <c r="C346" s="8">
        <v>1</v>
      </c>
      <c r="D346" s="9">
        <v>9.24</v>
      </c>
      <c r="E346" s="9">
        <v>9.24</v>
      </c>
      <c r="F346" s="10">
        <v>21.99</v>
      </c>
      <c r="G346" s="9">
        <v>21.99</v>
      </c>
      <c r="H346" s="8" t="s">
        <v>3020</v>
      </c>
      <c r="I346" s="7" t="s">
        <v>3185</v>
      </c>
      <c r="J346" s="11" t="s">
        <v>3186</v>
      </c>
      <c r="K346" s="7" t="s">
        <v>3300</v>
      </c>
      <c r="L346" s="7" t="s">
        <v>3301</v>
      </c>
      <c r="M346" s="12"/>
    </row>
    <row r="347" spans="1:13" ht="15.2" customHeight="1" x14ac:dyDescent="0.2">
      <c r="A347" s="6" t="s">
        <v>2341</v>
      </c>
      <c r="B347" s="7" t="s">
        <v>4389</v>
      </c>
      <c r="C347" s="8">
        <v>1</v>
      </c>
      <c r="D347" s="9">
        <v>9.2200000000000006</v>
      </c>
      <c r="E347" s="9">
        <v>9.2200000000000006</v>
      </c>
      <c r="F347" s="10">
        <v>21.99</v>
      </c>
      <c r="G347" s="9">
        <v>21.99</v>
      </c>
      <c r="H347" s="8" t="s">
        <v>4390</v>
      </c>
      <c r="I347" s="7" t="s">
        <v>3216</v>
      </c>
      <c r="J347" s="11" t="s">
        <v>3231</v>
      </c>
      <c r="K347" s="7" t="s">
        <v>3300</v>
      </c>
      <c r="L347" s="7" t="s">
        <v>3301</v>
      </c>
      <c r="M347" s="12"/>
    </row>
    <row r="348" spans="1:13" ht="15.2" customHeight="1" x14ac:dyDescent="0.2">
      <c r="A348" s="6" t="s">
        <v>4194</v>
      </c>
      <c r="B348" s="7" t="s">
        <v>4195</v>
      </c>
      <c r="C348" s="8">
        <v>1</v>
      </c>
      <c r="D348" s="9">
        <v>9.2200000000000006</v>
      </c>
      <c r="E348" s="9">
        <v>9.2200000000000006</v>
      </c>
      <c r="F348" s="10">
        <v>21.99</v>
      </c>
      <c r="G348" s="9">
        <v>21.99</v>
      </c>
      <c r="H348" s="8" t="s">
        <v>4196</v>
      </c>
      <c r="I348" s="7" t="s">
        <v>3185</v>
      </c>
      <c r="J348" s="11" t="s">
        <v>3186</v>
      </c>
      <c r="K348" s="7" t="s">
        <v>3300</v>
      </c>
      <c r="L348" s="7" t="s">
        <v>3301</v>
      </c>
      <c r="M348" s="12"/>
    </row>
    <row r="349" spans="1:13" ht="15.2" customHeight="1" x14ac:dyDescent="0.2">
      <c r="A349" s="6" t="s">
        <v>3021</v>
      </c>
      <c r="B349" s="7" t="s">
        <v>4195</v>
      </c>
      <c r="C349" s="8">
        <v>1</v>
      </c>
      <c r="D349" s="9">
        <v>9.2200000000000006</v>
      </c>
      <c r="E349" s="9">
        <v>9.2200000000000006</v>
      </c>
      <c r="F349" s="10">
        <v>21.99</v>
      </c>
      <c r="G349" s="9">
        <v>21.99</v>
      </c>
      <c r="H349" s="8" t="s">
        <v>4196</v>
      </c>
      <c r="I349" s="7" t="s">
        <v>3185</v>
      </c>
      <c r="J349" s="11" t="s">
        <v>3220</v>
      </c>
      <c r="K349" s="7" t="s">
        <v>3300</v>
      </c>
      <c r="L349" s="7" t="s">
        <v>3301</v>
      </c>
      <c r="M349" s="12"/>
    </row>
    <row r="350" spans="1:13" ht="15.2" customHeight="1" x14ac:dyDescent="0.2">
      <c r="A350" s="6" t="s">
        <v>4388</v>
      </c>
      <c r="B350" s="7" t="s">
        <v>4389</v>
      </c>
      <c r="C350" s="8">
        <v>1</v>
      </c>
      <c r="D350" s="9">
        <v>9.2200000000000006</v>
      </c>
      <c r="E350" s="9">
        <v>9.2200000000000006</v>
      </c>
      <c r="F350" s="10">
        <v>21.99</v>
      </c>
      <c r="G350" s="9">
        <v>21.99</v>
      </c>
      <c r="H350" s="8" t="s">
        <v>4390</v>
      </c>
      <c r="I350" s="7" t="s">
        <v>3216</v>
      </c>
      <c r="J350" s="11" t="s">
        <v>3186</v>
      </c>
      <c r="K350" s="7" t="s">
        <v>3300</v>
      </c>
      <c r="L350" s="7" t="s">
        <v>3301</v>
      </c>
      <c r="M350" s="12"/>
    </row>
    <row r="351" spans="1:13" ht="15.2" customHeight="1" x14ac:dyDescent="0.2">
      <c r="A351" s="6" t="s">
        <v>3022</v>
      </c>
      <c r="B351" s="7" t="s">
        <v>4046</v>
      </c>
      <c r="C351" s="8">
        <v>1</v>
      </c>
      <c r="D351" s="9">
        <v>9.1999999999999993</v>
      </c>
      <c r="E351" s="9">
        <v>9.1999999999999993</v>
      </c>
      <c r="F351" s="10">
        <v>21.99</v>
      </c>
      <c r="G351" s="9">
        <v>21.99</v>
      </c>
      <c r="H351" s="8" t="s">
        <v>4047</v>
      </c>
      <c r="I351" s="7" t="s">
        <v>3185</v>
      </c>
      <c r="J351" s="11" t="s">
        <v>3231</v>
      </c>
      <c r="K351" s="7" t="s">
        <v>3300</v>
      </c>
      <c r="L351" s="7" t="s">
        <v>3301</v>
      </c>
      <c r="M351" s="12"/>
    </row>
    <row r="352" spans="1:13" ht="15.2" customHeight="1" x14ac:dyDescent="0.2">
      <c r="A352" s="6" t="s">
        <v>2344</v>
      </c>
      <c r="B352" s="7" t="s">
        <v>4046</v>
      </c>
      <c r="C352" s="8">
        <v>1</v>
      </c>
      <c r="D352" s="9">
        <v>9.1999999999999993</v>
      </c>
      <c r="E352" s="9">
        <v>9.1999999999999993</v>
      </c>
      <c r="F352" s="10">
        <v>21.99</v>
      </c>
      <c r="G352" s="9">
        <v>21.99</v>
      </c>
      <c r="H352" s="8" t="s">
        <v>4047</v>
      </c>
      <c r="I352" s="7" t="s">
        <v>3185</v>
      </c>
      <c r="J352" s="11" t="s">
        <v>3186</v>
      </c>
      <c r="K352" s="7" t="s">
        <v>3300</v>
      </c>
      <c r="L352" s="7" t="s">
        <v>3301</v>
      </c>
      <c r="M352" s="12"/>
    </row>
    <row r="353" spans="1:13" ht="15.2" customHeight="1" x14ac:dyDescent="0.2">
      <c r="A353" s="6" t="s">
        <v>3023</v>
      </c>
      <c r="B353" s="7" t="s">
        <v>4198</v>
      </c>
      <c r="C353" s="8">
        <v>1</v>
      </c>
      <c r="D353" s="9">
        <v>9.19</v>
      </c>
      <c r="E353" s="9">
        <v>9.19</v>
      </c>
      <c r="F353" s="10">
        <v>21.99</v>
      </c>
      <c r="G353" s="9">
        <v>21.99</v>
      </c>
      <c r="H353" s="8" t="s">
        <v>4199</v>
      </c>
      <c r="I353" s="7" t="s">
        <v>3216</v>
      </c>
      <c r="J353" s="11" t="s">
        <v>3231</v>
      </c>
      <c r="K353" s="7" t="s">
        <v>3300</v>
      </c>
      <c r="L353" s="7" t="s">
        <v>3301</v>
      </c>
      <c r="M353" s="12"/>
    </row>
    <row r="354" spans="1:13" ht="15.2" customHeight="1" x14ac:dyDescent="0.2">
      <c r="A354" s="6" t="s">
        <v>3024</v>
      </c>
      <c r="B354" s="7" t="s">
        <v>3817</v>
      </c>
      <c r="C354" s="8">
        <v>1</v>
      </c>
      <c r="D354" s="9">
        <v>8.94</v>
      </c>
      <c r="E354" s="9">
        <v>8.94</v>
      </c>
      <c r="F354" s="10">
        <v>24.5</v>
      </c>
      <c r="G354" s="9">
        <v>24.5</v>
      </c>
      <c r="H354" s="8" t="s">
        <v>3818</v>
      </c>
      <c r="I354" s="7" t="s">
        <v>3681</v>
      </c>
      <c r="J354" s="11" t="s">
        <v>3186</v>
      </c>
      <c r="K354" s="7" t="s">
        <v>3221</v>
      </c>
      <c r="L354" s="7" t="s">
        <v>3224</v>
      </c>
      <c r="M354" s="12"/>
    </row>
    <row r="355" spans="1:13" ht="15.2" customHeight="1" x14ac:dyDescent="0.2">
      <c r="A355" s="6" t="s">
        <v>3025</v>
      </c>
      <c r="B355" s="7" t="s">
        <v>3026</v>
      </c>
      <c r="C355" s="8">
        <v>1</v>
      </c>
      <c r="D355" s="9">
        <v>8</v>
      </c>
      <c r="E355" s="9">
        <v>8</v>
      </c>
      <c r="F355" s="10">
        <v>19.989999999999998</v>
      </c>
      <c r="G355" s="9">
        <v>19.989999999999998</v>
      </c>
      <c r="H355" s="8" t="s">
        <v>3027</v>
      </c>
      <c r="I355" s="7" t="s">
        <v>3376</v>
      </c>
      <c r="J355" s="11" t="s">
        <v>3220</v>
      </c>
      <c r="K355" s="7" t="s">
        <v>3387</v>
      </c>
      <c r="L355" s="7" t="s">
        <v>3429</v>
      </c>
      <c r="M355" s="12"/>
    </row>
    <row r="356" spans="1:13" ht="15.2" customHeight="1" x14ac:dyDescent="0.2">
      <c r="A356" s="6" t="s">
        <v>3028</v>
      </c>
      <c r="B356" s="7" t="s">
        <v>3029</v>
      </c>
      <c r="C356" s="8">
        <v>1</v>
      </c>
      <c r="D356" s="9">
        <v>8</v>
      </c>
      <c r="E356" s="9">
        <v>8</v>
      </c>
      <c r="F356" s="10">
        <v>19.989999999999998</v>
      </c>
      <c r="G356" s="9">
        <v>19.989999999999998</v>
      </c>
      <c r="H356" s="8" t="s">
        <v>3027</v>
      </c>
      <c r="I356" s="7" t="s">
        <v>3376</v>
      </c>
      <c r="J356" s="11" t="s">
        <v>3202</v>
      </c>
      <c r="K356" s="7" t="s">
        <v>3387</v>
      </c>
      <c r="L356" s="7" t="s">
        <v>3429</v>
      </c>
      <c r="M356" s="12"/>
    </row>
    <row r="357" spans="1:13" ht="15.2" customHeight="1" x14ac:dyDescent="0.2">
      <c r="A357" s="6" t="s">
        <v>3030</v>
      </c>
      <c r="B357" s="7" t="s">
        <v>3031</v>
      </c>
      <c r="C357" s="8">
        <v>1</v>
      </c>
      <c r="D357" s="9">
        <v>7.95</v>
      </c>
      <c r="E357" s="9">
        <v>7.95</v>
      </c>
      <c r="F357" s="10">
        <v>19.989999999999998</v>
      </c>
      <c r="G357" s="9">
        <v>19.989999999999998</v>
      </c>
      <c r="H357" s="8" t="s">
        <v>3582</v>
      </c>
      <c r="I357" s="7" t="s">
        <v>3203</v>
      </c>
      <c r="J357" s="11" t="s">
        <v>3186</v>
      </c>
      <c r="K357" s="7" t="s">
        <v>3323</v>
      </c>
      <c r="L357" s="7" t="s">
        <v>3369</v>
      </c>
      <c r="M357" s="12"/>
    </row>
    <row r="358" spans="1:13" ht="15.2" customHeight="1" x14ac:dyDescent="0.2">
      <c r="A358" s="6" t="s">
        <v>3032</v>
      </c>
      <c r="B358" s="7" t="s">
        <v>3033</v>
      </c>
      <c r="C358" s="8">
        <v>1</v>
      </c>
      <c r="D358" s="9">
        <v>7.95</v>
      </c>
      <c r="E358" s="9">
        <v>7.95</v>
      </c>
      <c r="F358" s="10">
        <v>19.989999999999998</v>
      </c>
      <c r="G358" s="9">
        <v>19.989999999999998</v>
      </c>
      <c r="H358" s="8" t="s">
        <v>3582</v>
      </c>
      <c r="I358" s="7" t="s">
        <v>3321</v>
      </c>
      <c r="J358" s="11" t="s">
        <v>3186</v>
      </c>
      <c r="K358" s="7" t="s">
        <v>3323</v>
      </c>
      <c r="L358" s="7" t="s">
        <v>3369</v>
      </c>
      <c r="M358" s="12"/>
    </row>
    <row r="359" spans="1:13" ht="15.2" customHeight="1" x14ac:dyDescent="0.2">
      <c r="A359" s="6" t="s">
        <v>3819</v>
      </c>
      <c r="B359" s="7" t="s">
        <v>3820</v>
      </c>
      <c r="C359" s="8">
        <v>1</v>
      </c>
      <c r="D359" s="9">
        <v>7.12</v>
      </c>
      <c r="E359" s="9">
        <v>7.12</v>
      </c>
      <c r="F359" s="10">
        <v>19.5</v>
      </c>
      <c r="G359" s="9">
        <v>19.5</v>
      </c>
      <c r="H359" s="8" t="s">
        <v>3821</v>
      </c>
      <c r="I359" s="7" t="s">
        <v>3207</v>
      </c>
      <c r="J359" s="11" t="s">
        <v>3202</v>
      </c>
      <c r="K359" s="7" t="s">
        <v>3221</v>
      </c>
      <c r="L359" s="7" t="s">
        <v>3224</v>
      </c>
      <c r="M359" s="12"/>
    </row>
    <row r="360" spans="1:13" ht="15.2" customHeight="1" x14ac:dyDescent="0.2">
      <c r="A360" s="6" t="s">
        <v>4210</v>
      </c>
      <c r="B360" s="7" t="s">
        <v>3820</v>
      </c>
      <c r="C360" s="8">
        <v>1</v>
      </c>
      <c r="D360" s="9">
        <v>7.12</v>
      </c>
      <c r="E360" s="9">
        <v>7.12</v>
      </c>
      <c r="F360" s="10">
        <v>19.5</v>
      </c>
      <c r="G360" s="9">
        <v>19.5</v>
      </c>
      <c r="H360" s="8" t="s">
        <v>3821</v>
      </c>
      <c r="I360" s="7" t="s">
        <v>3207</v>
      </c>
      <c r="J360" s="11" t="s">
        <v>3242</v>
      </c>
      <c r="K360" s="7" t="s">
        <v>3221</v>
      </c>
      <c r="L360" s="7" t="s">
        <v>3224</v>
      </c>
      <c r="M360" s="12"/>
    </row>
    <row r="361" spans="1:13" ht="15.2" customHeight="1" x14ac:dyDescent="0.2">
      <c r="A361" s="6" t="s">
        <v>3034</v>
      </c>
      <c r="B361" s="7" t="s">
        <v>3820</v>
      </c>
      <c r="C361" s="8">
        <v>1</v>
      </c>
      <c r="D361" s="9">
        <v>7.12</v>
      </c>
      <c r="E361" s="9">
        <v>7.12</v>
      </c>
      <c r="F361" s="10">
        <v>19.5</v>
      </c>
      <c r="G361" s="9">
        <v>19.5</v>
      </c>
      <c r="H361" s="8" t="s">
        <v>3821</v>
      </c>
      <c r="I361" s="7" t="s">
        <v>3207</v>
      </c>
      <c r="J361" s="11" t="s">
        <v>3220</v>
      </c>
      <c r="K361" s="7" t="s">
        <v>3221</v>
      </c>
      <c r="L361" s="7" t="s">
        <v>3224</v>
      </c>
      <c r="M361" s="12"/>
    </row>
    <row r="362" spans="1:13" ht="15.2" customHeight="1" x14ac:dyDescent="0.2">
      <c r="A362" s="6" t="s">
        <v>3035</v>
      </c>
      <c r="B362" s="7" t="s">
        <v>3036</v>
      </c>
      <c r="C362" s="8">
        <v>1</v>
      </c>
      <c r="D362" s="9">
        <v>7</v>
      </c>
      <c r="E362" s="9">
        <v>7</v>
      </c>
      <c r="F362" s="10">
        <v>16.989999999999998</v>
      </c>
      <c r="G362" s="9">
        <v>16.989999999999998</v>
      </c>
      <c r="H362" s="8" t="s">
        <v>4049</v>
      </c>
      <c r="I362" s="7" t="s">
        <v>3286</v>
      </c>
      <c r="J362" s="11" t="s">
        <v>3220</v>
      </c>
      <c r="K362" s="7" t="s">
        <v>3343</v>
      </c>
      <c r="L362" s="7" t="s">
        <v>3324</v>
      </c>
      <c r="M362" s="12"/>
    </row>
    <row r="363" spans="1:13" ht="15.2" customHeight="1" x14ac:dyDescent="0.2">
      <c r="A363" s="6" t="s">
        <v>3037</v>
      </c>
      <c r="B363" s="7" t="s">
        <v>3038</v>
      </c>
      <c r="C363" s="8">
        <v>3</v>
      </c>
      <c r="D363" s="9">
        <v>7</v>
      </c>
      <c r="E363" s="9">
        <v>21</v>
      </c>
      <c r="F363" s="10">
        <v>16.989999999999998</v>
      </c>
      <c r="G363" s="9">
        <v>50.97</v>
      </c>
      <c r="H363" s="8" t="s">
        <v>4049</v>
      </c>
      <c r="I363" s="7"/>
      <c r="J363" s="11" t="s">
        <v>3186</v>
      </c>
      <c r="K363" s="7" t="s">
        <v>3343</v>
      </c>
      <c r="L363" s="7" t="s">
        <v>3324</v>
      </c>
      <c r="M363" s="12"/>
    </row>
    <row r="364" spans="1:13" ht="15.2" customHeight="1" x14ac:dyDescent="0.2">
      <c r="A364" s="6" t="s">
        <v>3039</v>
      </c>
      <c r="B364" s="7" t="s">
        <v>3040</v>
      </c>
      <c r="C364" s="8">
        <v>2</v>
      </c>
      <c r="D364" s="9">
        <v>7</v>
      </c>
      <c r="E364" s="9">
        <v>14</v>
      </c>
      <c r="F364" s="10">
        <v>16.989999999999998</v>
      </c>
      <c r="G364" s="9">
        <v>33.979999999999997</v>
      </c>
      <c r="H364" s="8" t="s">
        <v>4049</v>
      </c>
      <c r="I364" s="7" t="s">
        <v>3286</v>
      </c>
      <c r="J364" s="11" t="s">
        <v>3202</v>
      </c>
      <c r="K364" s="7" t="s">
        <v>3343</v>
      </c>
      <c r="L364" s="7" t="s">
        <v>3324</v>
      </c>
      <c r="M364" s="12"/>
    </row>
    <row r="365" spans="1:13" ht="15.2" customHeight="1" x14ac:dyDescent="0.2">
      <c r="A365" s="6" t="s">
        <v>3041</v>
      </c>
      <c r="B365" s="7" t="s">
        <v>3042</v>
      </c>
      <c r="C365" s="8">
        <v>1</v>
      </c>
      <c r="D365" s="9">
        <v>7</v>
      </c>
      <c r="E365" s="9">
        <v>7</v>
      </c>
      <c r="F365" s="10">
        <v>16.989999999999998</v>
      </c>
      <c r="G365" s="9">
        <v>16.989999999999998</v>
      </c>
      <c r="H365" s="8" t="s">
        <v>4049</v>
      </c>
      <c r="I365" s="7"/>
      <c r="J365" s="11" t="s">
        <v>3220</v>
      </c>
      <c r="K365" s="7" t="s">
        <v>3343</v>
      </c>
      <c r="L365" s="7" t="s">
        <v>3324</v>
      </c>
      <c r="M365" s="12"/>
    </row>
    <row r="366" spans="1:13" ht="15.2" customHeight="1" x14ac:dyDescent="0.2">
      <c r="A366" s="6" t="s">
        <v>3043</v>
      </c>
      <c r="B366" s="7" t="s">
        <v>3044</v>
      </c>
      <c r="C366" s="8">
        <v>2</v>
      </c>
      <c r="D366" s="9">
        <v>7</v>
      </c>
      <c r="E366" s="9">
        <v>14</v>
      </c>
      <c r="F366" s="10">
        <v>16.989999999999998</v>
      </c>
      <c r="G366" s="9">
        <v>33.979999999999997</v>
      </c>
      <c r="H366" s="8" t="s">
        <v>4049</v>
      </c>
      <c r="I366" s="7"/>
      <c r="J366" s="11" t="s">
        <v>3202</v>
      </c>
      <c r="K366" s="7" t="s">
        <v>3343</v>
      </c>
      <c r="L366" s="7" t="s">
        <v>3324</v>
      </c>
      <c r="M366" s="12"/>
    </row>
    <row r="367" spans="1:13" ht="15.2" customHeight="1" x14ac:dyDescent="0.2">
      <c r="A367" s="6" t="s">
        <v>3045</v>
      </c>
      <c r="B367" s="7" t="s">
        <v>3046</v>
      </c>
      <c r="C367" s="8">
        <v>1</v>
      </c>
      <c r="D367" s="9">
        <v>7</v>
      </c>
      <c r="E367" s="9">
        <v>7</v>
      </c>
      <c r="F367" s="10">
        <v>16.989999999999998</v>
      </c>
      <c r="G367" s="9">
        <v>16.989999999999998</v>
      </c>
      <c r="H367" s="8" t="s">
        <v>4049</v>
      </c>
      <c r="I367" s="7" t="s">
        <v>3386</v>
      </c>
      <c r="J367" s="11" t="s">
        <v>3242</v>
      </c>
      <c r="K367" s="7" t="s">
        <v>3343</v>
      </c>
      <c r="L367" s="7" t="s">
        <v>3324</v>
      </c>
      <c r="M367" s="12"/>
    </row>
    <row r="368" spans="1:13" ht="15.2" customHeight="1" x14ac:dyDescent="0.2">
      <c r="A368" s="6" t="s">
        <v>3047</v>
      </c>
      <c r="B368" s="7" t="s">
        <v>3048</v>
      </c>
      <c r="C368" s="8">
        <v>1</v>
      </c>
      <c r="D368" s="9">
        <v>7</v>
      </c>
      <c r="E368" s="9">
        <v>7</v>
      </c>
      <c r="F368" s="10">
        <v>16.989999999999998</v>
      </c>
      <c r="G368" s="9">
        <v>16.989999999999998</v>
      </c>
      <c r="H368" s="8" t="s">
        <v>4049</v>
      </c>
      <c r="I368" s="7" t="s">
        <v>3386</v>
      </c>
      <c r="J368" s="11" t="s">
        <v>3220</v>
      </c>
      <c r="K368" s="7" t="s">
        <v>3343</v>
      </c>
      <c r="L368" s="7" t="s">
        <v>3324</v>
      </c>
      <c r="M368" s="12"/>
    </row>
    <row r="369" spans="1:13" ht="15.2" customHeight="1" x14ac:dyDescent="0.2">
      <c r="A369" s="6" t="s">
        <v>3049</v>
      </c>
      <c r="B369" s="7" t="s">
        <v>3050</v>
      </c>
      <c r="C369" s="8">
        <v>1</v>
      </c>
      <c r="D369" s="9">
        <v>6.5</v>
      </c>
      <c r="E369" s="9">
        <v>6.5</v>
      </c>
      <c r="F369" s="10">
        <v>12.99</v>
      </c>
      <c r="G369" s="9">
        <v>12.99</v>
      </c>
      <c r="H369" s="8" t="s">
        <v>3051</v>
      </c>
      <c r="I369" s="7" t="s">
        <v>3185</v>
      </c>
      <c r="J369" s="11" t="s">
        <v>3220</v>
      </c>
      <c r="K369" s="7" t="s">
        <v>3387</v>
      </c>
      <c r="L369" s="7" t="s">
        <v>3344</v>
      </c>
      <c r="M369" s="12"/>
    </row>
    <row r="370" spans="1:13" ht="15.2" customHeight="1" x14ac:dyDescent="0.2">
      <c r="A370" s="6" t="s">
        <v>3052</v>
      </c>
      <c r="B370" s="7" t="s">
        <v>2349</v>
      </c>
      <c r="C370" s="8">
        <v>1</v>
      </c>
      <c r="D370" s="9">
        <v>6.3</v>
      </c>
      <c r="E370" s="9">
        <v>6.3</v>
      </c>
      <c r="F370" s="10">
        <v>14.99</v>
      </c>
      <c r="G370" s="9">
        <v>14.99</v>
      </c>
      <c r="H370" s="8" t="s">
        <v>2350</v>
      </c>
      <c r="I370" s="7" t="s">
        <v>3252</v>
      </c>
      <c r="J370" s="11" t="s">
        <v>3231</v>
      </c>
      <c r="K370" s="7" t="s">
        <v>3300</v>
      </c>
      <c r="L370" s="7" t="s">
        <v>3301</v>
      </c>
      <c r="M370" s="12"/>
    </row>
    <row r="371" spans="1:13" ht="15.2" customHeight="1" x14ac:dyDescent="0.2">
      <c r="A371" s="6" t="s">
        <v>3053</v>
      </c>
      <c r="B371" s="7" t="s">
        <v>3054</v>
      </c>
      <c r="C371" s="8">
        <v>1</v>
      </c>
      <c r="D371" s="9">
        <v>6</v>
      </c>
      <c r="E371" s="9">
        <v>6</v>
      </c>
      <c r="F371" s="10">
        <v>12.99</v>
      </c>
      <c r="G371" s="9">
        <v>12.99</v>
      </c>
      <c r="H371" s="8" t="s">
        <v>3600</v>
      </c>
      <c r="I371" s="7" t="s">
        <v>3252</v>
      </c>
      <c r="J371" s="11" t="s">
        <v>3220</v>
      </c>
      <c r="K371" s="7" t="s">
        <v>3387</v>
      </c>
      <c r="L371" s="7" t="s">
        <v>3425</v>
      </c>
      <c r="M371" s="12"/>
    </row>
    <row r="372" spans="1:13" ht="15.2" customHeight="1" x14ac:dyDescent="0.2">
      <c r="A372" s="6" t="s">
        <v>3055</v>
      </c>
      <c r="B372" s="7" t="s">
        <v>4050</v>
      </c>
      <c r="C372" s="8">
        <v>1</v>
      </c>
      <c r="D372" s="9">
        <v>5.5</v>
      </c>
      <c r="E372" s="9">
        <v>5.5</v>
      </c>
      <c r="F372" s="10">
        <v>12.99</v>
      </c>
      <c r="G372" s="9">
        <v>12.99</v>
      </c>
      <c r="H372" s="8" t="s">
        <v>4051</v>
      </c>
      <c r="I372" s="7" t="s">
        <v>3214</v>
      </c>
      <c r="J372" s="11" t="s">
        <v>3186</v>
      </c>
      <c r="K372" s="7" t="s">
        <v>3387</v>
      </c>
      <c r="L372" s="7" t="s">
        <v>3404</v>
      </c>
      <c r="M372" s="12"/>
    </row>
    <row r="373" spans="1:13" ht="15.2" customHeight="1" x14ac:dyDescent="0.2">
      <c r="A373" s="6" t="s">
        <v>3613</v>
      </c>
      <c r="B373" s="7" t="s">
        <v>3614</v>
      </c>
      <c r="C373" s="8">
        <v>1</v>
      </c>
      <c r="D373" s="9">
        <v>5.5</v>
      </c>
      <c r="E373" s="9">
        <v>5.5</v>
      </c>
      <c r="F373" s="10">
        <v>12.99</v>
      </c>
      <c r="G373" s="9">
        <v>12.99</v>
      </c>
      <c r="H373" s="8" t="s">
        <v>3615</v>
      </c>
      <c r="I373" s="7" t="s">
        <v>3252</v>
      </c>
      <c r="J373" s="11" t="s">
        <v>3220</v>
      </c>
      <c r="K373" s="7" t="s">
        <v>3387</v>
      </c>
      <c r="L373" s="7" t="s">
        <v>3404</v>
      </c>
      <c r="M373" s="12"/>
    </row>
    <row r="374" spans="1:13" ht="15.2" customHeight="1" x14ac:dyDescent="0.2">
      <c r="A374" s="6" t="s">
        <v>3056</v>
      </c>
      <c r="B374" s="7" t="s">
        <v>3057</v>
      </c>
      <c r="C374" s="8">
        <v>1</v>
      </c>
      <c r="D374" s="9">
        <v>5.5</v>
      </c>
      <c r="E374" s="9">
        <v>5.5</v>
      </c>
      <c r="F374" s="10">
        <v>39</v>
      </c>
      <c r="G374" s="9">
        <v>39</v>
      </c>
      <c r="H374" s="8" t="s">
        <v>2351</v>
      </c>
      <c r="I374" s="7" t="s">
        <v>3293</v>
      </c>
      <c r="J374" s="11" t="s">
        <v>3211</v>
      </c>
      <c r="K374" s="7" t="s">
        <v>3281</v>
      </c>
      <c r="L374" s="7" t="s">
        <v>3824</v>
      </c>
      <c r="M374" s="12"/>
    </row>
    <row r="375" spans="1:13" ht="15.2" customHeight="1" x14ac:dyDescent="0.2">
      <c r="A375" s="6" t="s">
        <v>3618</v>
      </c>
      <c r="B375" s="7" t="s">
        <v>3619</v>
      </c>
      <c r="C375" s="8">
        <v>1</v>
      </c>
      <c r="D375" s="9">
        <v>5.5</v>
      </c>
      <c r="E375" s="9">
        <v>5.5</v>
      </c>
      <c r="F375" s="10">
        <v>13.99</v>
      </c>
      <c r="G375" s="9">
        <v>13.99</v>
      </c>
      <c r="H375" s="8" t="s">
        <v>3606</v>
      </c>
      <c r="I375" s="7" t="s">
        <v>3203</v>
      </c>
      <c r="J375" s="11" t="s">
        <v>3236</v>
      </c>
      <c r="K375" s="7" t="s">
        <v>3241</v>
      </c>
      <c r="L375" s="7" t="s">
        <v>3427</v>
      </c>
      <c r="M375" s="12"/>
    </row>
    <row r="376" spans="1:13" ht="15.2" customHeight="1" x14ac:dyDescent="0.2">
      <c r="A376" s="6" t="s">
        <v>3822</v>
      </c>
      <c r="B376" s="7" t="s">
        <v>3823</v>
      </c>
      <c r="C376" s="8">
        <v>1</v>
      </c>
      <c r="D376" s="9">
        <v>5.5</v>
      </c>
      <c r="E376" s="9">
        <v>5.5</v>
      </c>
      <c r="F376" s="10">
        <v>13.99</v>
      </c>
      <c r="G376" s="9">
        <v>13.99</v>
      </c>
      <c r="H376" s="8" t="s">
        <v>3606</v>
      </c>
      <c r="I376" s="7" t="s">
        <v>3234</v>
      </c>
      <c r="J376" s="11" t="s">
        <v>3236</v>
      </c>
      <c r="K376" s="7" t="s">
        <v>3241</v>
      </c>
      <c r="L376" s="7" t="s">
        <v>3427</v>
      </c>
      <c r="M376" s="12"/>
    </row>
    <row r="377" spans="1:13" ht="15.2" customHeight="1" x14ac:dyDescent="0.2">
      <c r="A377" s="6" t="s">
        <v>2352</v>
      </c>
      <c r="B377" s="7" t="s">
        <v>2353</v>
      </c>
      <c r="C377" s="8">
        <v>1</v>
      </c>
      <c r="D377" s="9">
        <v>5.5</v>
      </c>
      <c r="E377" s="9">
        <v>5.5</v>
      </c>
      <c r="F377" s="10">
        <v>39</v>
      </c>
      <c r="G377" s="9">
        <v>39</v>
      </c>
      <c r="H377" s="8" t="s">
        <v>2351</v>
      </c>
      <c r="I377" s="7" t="s">
        <v>3321</v>
      </c>
      <c r="J377" s="11" t="s">
        <v>3229</v>
      </c>
      <c r="K377" s="7" t="s">
        <v>3281</v>
      </c>
      <c r="L377" s="7" t="s">
        <v>3824</v>
      </c>
      <c r="M377" s="12"/>
    </row>
    <row r="378" spans="1:13" ht="15.2" customHeight="1" x14ac:dyDescent="0.2">
      <c r="A378" s="6" t="s">
        <v>3607</v>
      </c>
      <c r="B378" s="7" t="s">
        <v>3608</v>
      </c>
      <c r="C378" s="8">
        <v>1</v>
      </c>
      <c r="D378" s="9">
        <v>5.5</v>
      </c>
      <c r="E378" s="9">
        <v>5.5</v>
      </c>
      <c r="F378" s="10">
        <v>13.99</v>
      </c>
      <c r="G378" s="9">
        <v>13.99</v>
      </c>
      <c r="H378" s="8" t="s">
        <v>3606</v>
      </c>
      <c r="I378" s="7" t="s">
        <v>3203</v>
      </c>
      <c r="J378" s="11" t="s">
        <v>3202</v>
      </c>
      <c r="K378" s="7" t="s">
        <v>3241</v>
      </c>
      <c r="L378" s="7" t="s">
        <v>3427</v>
      </c>
      <c r="M378" s="12"/>
    </row>
    <row r="379" spans="1:13" ht="15.2" customHeight="1" x14ac:dyDescent="0.2">
      <c r="A379" s="6" t="s">
        <v>3604</v>
      </c>
      <c r="B379" s="7" t="s">
        <v>3605</v>
      </c>
      <c r="C379" s="8">
        <v>1</v>
      </c>
      <c r="D379" s="9">
        <v>5.5</v>
      </c>
      <c r="E379" s="9">
        <v>5.5</v>
      </c>
      <c r="F379" s="10">
        <v>13.99</v>
      </c>
      <c r="G379" s="9">
        <v>13.99</v>
      </c>
      <c r="H379" s="8" t="s">
        <v>3606</v>
      </c>
      <c r="I379" s="7" t="s">
        <v>3185</v>
      </c>
      <c r="J379" s="11" t="s">
        <v>3186</v>
      </c>
      <c r="K379" s="7" t="s">
        <v>3241</v>
      </c>
      <c r="L379" s="7" t="s">
        <v>3427</v>
      </c>
      <c r="M379" s="12"/>
    </row>
    <row r="380" spans="1:13" ht="15.2" customHeight="1" x14ac:dyDescent="0.2">
      <c r="A380" s="6" t="s">
        <v>3627</v>
      </c>
      <c r="B380" s="7" t="s">
        <v>3628</v>
      </c>
      <c r="C380" s="8">
        <v>1</v>
      </c>
      <c r="D380" s="9">
        <v>5.5</v>
      </c>
      <c r="E380" s="9">
        <v>5.5</v>
      </c>
      <c r="F380" s="10">
        <v>13.99</v>
      </c>
      <c r="G380" s="9">
        <v>13.99</v>
      </c>
      <c r="H380" s="8" t="s">
        <v>3606</v>
      </c>
      <c r="I380" s="7" t="s">
        <v>3185</v>
      </c>
      <c r="J380" s="11" t="s">
        <v>3231</v>
      </c>
      <c r="K380" s="7" t="s">
        <v>3241</v>
      </c>
      <c r="L380" s="7" t="s">
        <v>3427</v>
      </c>
      <c r="M380" s="12"/>
    </row>
  </sheetData>
  <phoneticPr fontId="0" type="noConversion"/>
  <pageMargins left="0.5" right="0.5" top="0.25" bottom="0.25" header="0.3" footer="0.3"/>
  <pageSetup scale="65"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0"/>
  <sheetViews>
    <sheetView workbookViewId="0">
      <selection activeCell="B28" sqref="B28"/>
    </sheetView>
  </sheetViews>
  <sheetFormatPr defaultRowHeight="15.2" customHeight="1" x14ac:dyDescent="0.2"/>
  <cols>
    <col min="1" max="1" width="14.85546875" style="1" bestFit="1" customWidth="1"/>
    <col min="2" max="2" width="72.5703125" style="1" bestFit="1" customWidth="1"/>
    <col min="3" max="3" width="6.42578125" style="1" bestFit="1" customWidth="1"/>
    <col min="4" max="4" width="7.5703125" style="1" bestFit="1" customWidth="1"/>
    <col min="5" max="5" width="9.5703125" style="1" bestFit="1" customWidth="1"/>
    <col min="6" max="6" width="8.7109375" style="1" bestFit="1" customWidth="1"/>
    <col min="7" max="7" width="11.140625" style="1" bestFit="1" customWidth="1"/>
    <col min="8" max="8" width="16.7109375" style="1" bestFit="1" customWidth="1"/>
    <col min="9" max="9" width="14.7109375" style="1" bestFit="1" customWidth="1"/>
    <col min="10" max="10" width="7.28515625" style="1" bestFit="1" customWidth="1"/>
    <col min="11" max="11" width="16.42578125" style="1" bestFit="1" customWidth="1"/>
    <col min="12" max="12" width="43.7109375" style="1" bestFit="1" customWidth="1"/>
    <col min="13" max="13" width="49.42578125" style="1" bestFit="1" customWidth="1"/>
    <col min="14" max="16384" width="9.140625" style="1"/>
  </cols>
  <sheetData>
    <row r="1" spans="1:13" ht="15.2" customHeight="1" x14ac:dyDescent="0.2">
      <c r="A1" s="5" t="s">
        <v>3181</v>
      </c>
      <c r="B1" s="5" t="s">
        <v>249</v>
      </c>
      <c r="C1" s="5" t="s">
        <v>236</v>
      </c>
      <c r="D1" s="5" t="s">
        <v>247</v>
      </c>
      <c r="E1" s="5" t="s">
        <v>248</v>
      </c>
      <c r="F1" s="5" t="s">
        <v>239</v>
      </c>
      <c r="G1" s="5" t="s">
        <v>240</v>
      </c>
      <c r="H1" s="5" t="s">
        <v>241</v>
      </c>
      <c r="I1" s="5" t="s">
        <v>242</v>
      </c>
      <c r="J1" s="5" t="s">
        <v>243</v>
      </c>
      <c r="K1" s="5" t="s">
        <v>244</v>
      </c>
      <c r="L1" s="5" t="s">
        <v>245</v>
      </c>
      <c r="M1" s="5" t="s">
        <v>246</v>
      </c>
    </row>
    <row r="2" spans="1:13" ht="15.2" customHeight="1" x14ac:dyDescent="0.2">
      <c r="A2" s="6" t="s">
        <v>3058</v>
      </c>
      <c r="B2" s="7" t="s">
        <v>3059</v>
      </c>
      <c r="C2" s="8">
        <v>2</v>
      </c>
      <c r="D2" s="9">
        <v>35</v>
      </c>
      <c r="E2" s="9">
        <v>70</v>
      </c>
      <c r="F2" s="10">
        <v>129</v>
      </c>
      <c r="G2" s="9">
        <v>258</v>
      </c>
      <c r="H2" s="8" t="s">
        <v>3060</v>
      </c>
      <c r="I2" s="7" t="s">
        <v>3381</v>
      </c>
      <c r="J2" s="11" t="s">
        <v>3195</v>
      </c>
      <c r="K2" s="7" t="s">
        <v>3281</v>
      </c>
      <c r="L2" s="7" t="s">
        <v>3776</v>
      </c>
      <c r="M2" s="12" t="str">
        <f>HYPERLINK("http://slimages.macys.com/is/image/MCY/3357162 ")</f>
        <v xml:space="preserve">http://slimages.macys.com/is/image/MCY/3357162 </v>
      </c>
    </row>
    <row r="3" spans="1:13" ht="15.2" customHeight="1" x14ac:dyDescent="0.2">
      <c r="A3" s="6" t="s">
        <v>3830</v>
      </c>
      <c r="B3" s="7" t="s">
        <v>3831</v>
      </c>
      <c r="C3" s="8">
        <v>1</v>
      </c>
      <c r="D3" s="9">
        <v>27</v>
      </c>
      <c r="E3" s="9">
        <v>27</v>
      </c>
      <c r="F3" s="10">
        <v>69.5</v>
      </c>
      <c r="G3" s="9">
        <v>69.5</v>
      </c>
      <c r="H3" s="8" t="s">
        <v>3200</v>
      </c>
      <c r="I3" s="7" t="s">
        <v>3252</v>
      </c>
      <c r="J3" s="11" t="s">
        <v>3202</v>
      </c>
      <c r="K3" s="7" t="s">
        <v>3198</v>
      </c>
      <c r="L3" s="7" t="s">
        <v>3199</v>
      </c>
      <c r="M3" s="12" t="str">
        <f>HYPERLINK("http://slimages.macys.com/is/image/MCY/3971150 ")</f>
        <v xml:space="preserve">http://slimages.macys.com/is/image/MCY/3971150 </v>
      </c>
    </row>
    <row r="4" spans="1:13" ht="15.2" customHeight="1" x14ac:dyDescent="0.2">
      <c r="A4" s="6" t="s">
        <v>3061</v>
      </c>
      <c r="B4" s="7" t="s">
        <v>3062</v>
      </c>
      <c r="C4" s="8">
        <v>1</v>
      </c>
      <c r="D4" s="9">
        <v>25.5</v>
      </c>
      <c r="E4" s="9">
        <v>25.5</v>
      </c>
      <c r="F4" s="10">
        <v>79</v>
      </c>
      <c r="G4" s="9">
        <v>79</v>
      </c>
      <c r="H4" s="8">
        <v>48389</v>
      </c>
      <c r="I4" s="7" t="s">
        <v>3185</v>
      </c>
      <c r="J4" s="11"/>
      <c r="K4" s="7" t="s">
        <v>3205</v>
      </c>
      <c r="L4" s="7" t="s">
        <v>3215</v>
      </c>
      <c r="M4" s="12" t="str">
        <f>HYPERLINK("http://slimages.macys.com/is/image/MCY/3615231 ")</f>
        <v xml:space="preserve">http://slimages.macys.com/is/image/MCY/3615231 </v>
      </c>
    </row>
    <row r="5" spans="1:13" ht="15.2" customHeight="1" x14ac:dyDescent="0.2">
      <c r="A5" s="6" t="s">
        <v>3063</v>
      </c>
      <c r="B5" s="7" t="s">
        <v>3064</v>
      </c>
      <c r="C5" s="8">
        <v>1</v>
      </c>
      <c r="D5" s="9">
        <v>25.5</v>
      </c>
      <c r="E5" s="9">
        <v>25.5</v>
      </c>
      <c r="F5" s="10">
        <v>79</v>
      </c>
      <c r="G5" s="9">
        <v>79</v>
      </c>
      <c r="H5" s="8">
        <v>48389</v>
      </c>
      <c r="I5" s="7" t="s">
        <v>3185</v>
      </c>
      <c r="J5" s="11"/>
      <c r="K5" s="7" t="s">
        <v>3205</v>
      </c>
      <c r="L5" s="7" t="s">
        <v>3215</v>
      </c>
      <c r="M5" s="12" t="str">
        <f>HYPERLINK("http://slimages.macys.com/is/image/MCY/3615231 ")</f>
        <v xml:space="preserve">http://slimages.macys.com/is/image/MCY/3615231 </v>
      </c>
    </row>
    <row r="6" spans="1:13" ht="15.2" customHeight="1" x14ac:dyDescent="0.2">
      <c r="A6" s="6" t="s">
        <v>3834</v>
      </c>
      <c r="B6" s="7" t="s">
        <v>3835</v>
      </c>
      <c r="C6" s="8">
        <v>1</v>
      </c>
      <c r="D6" s="9">
        <v>24.97</v>
      </c>
      <c r="E6" s="9">
        <v>24.97</v>
      </c>
      <c r="F6" s="10">
        <v>69.5</v>
      </c>
      <c r="G6" s="9">
        <v>69.5</v>
      </c>
      <c r="H6" s="8" t="s">
        <v>3833</v>
      </c>
      <c r="I6" s="7" t="s">
        <v>3203</v>
      </c>
      <c r="J6" s="11" t="s">
        <v>3186</v>
      </c>
      <c r="K6" s="7" t="s">
        <v>3221</v>
      </c>
      <c r="L6" s="7" t="s">
        <v>3224</v>
      </c>
      <c r="M6" s="12" t="str">
        <f>HYPERLINK("http://slimages.macys.com/is/image/MCY/2962546 ")</f>
        <v xml:space="preserve">http://slimages.macys.com/is/image/MCY/2962546 </v>
      </c>
    </row>
    <row r="7" spans="1:13" ht="15.2" customHeight="1" x14ac:dyDescent="0.2">
      <c r="A7" s="6" t="s">
        <v>4221</v>
      </c>
      <c r="B7" s="7" t="s">
        <v>4222</v>
      </c>
      <c r="C7" s="8">
        <v>1</v>
      </c>
      <c r="D7" s="9">
        <v>24</v>
      </c>
      <c r="E7" s="9">
        <v>24</v>
      </c>
      <c r="F7" s="10">
        <v>69</v>
      </c>
      <c r="G7" s="9">
        <v>69</v>
      </c>
      <c r="H7" s="8" t="s">
        <v>4219</v>
      </c>
      <c r="I7" s="7" t="s">
        <v>3257</v>
      </c>
      <c r="J7" s="11" t="s">
        <v>3186</v>
      </c>
      <c r="K7" s="7" t="s">
        <v>3217</v>
      </c>
      <c r="L7" s="7" t="s">
        <v>3218</v>
      </c>
      <c r="M7" s="12" t="str">
        <f>HYPERLINK("http://slimages.macys.com/is/image/MCY/3801919 ")</f>
        <v xml:space="preserve">http://slimages.macys.com/is/image/MCY/3801919 </v>
      </c>
    </row>
    <row r="8" spans="1:13" ht="15.2" customHeight="1" x14ac:dyDescent="0.2">
      <c r="A8" s="6" t="s">
        <v>3065</v>
      </c>
      <c r="B8" s="7" t="s">
        <v>3066</v>
      </c>
      <c r="C8" s="8">
        <v>1</v>
      </c>
      <c r="D8" s="9">
        <v>23.8</v>
      </c>
      <c r="E8" s="9">
        <v>23.8</v>
      </c>
      <c r="F8" s="10">
        <v>59.5</v>
      </c>
      <c r="G8" s="9">
        <v>59.5</v>
      </c>
      <c r="H8" s="8" t="s">
        <v>3647</v>
      </c>
      <c r="I8" s="7" t="s">
        <v>3234</v>
      </c>
      <c r="J8" s="11" t="s">
        <v>3231</v>
      </c>
      <c r="K8" s="7" t="s">
        <v>3208</v>
      </c>
      <c r="L8" s="7" t="s">
        <v>3209</v>
      </c>
      <c r="M8" s="12" t="str">
        <f>HYPERLINK("http://slimages.macys.com/is/image/MCY/3902112 ")</f>
        <v xml:space="preserve">http://slimages.macys.com/is/image/MCY/3902112 </v>
      </c>
    </row>
    <row r="9" spans="1:13" ht="15.2" customHeight="1" x14ac:dyDescent="0.2">
      <c r="A9" s="6" t="s">
        <v>4054</v>
      </c>
      <c r="B9" s="7" t="s">
        <v>4055</v>
      </c>
      <c r="C9" s="8">
        <v>1</v>
      </c>
      <c r="D9" s="9">
        <v>23.8</v>
      </c>
      <c r="E9" s="9">
        <v>23.8</v>
      </c>
      <c r="F9" s="10">
        <v>59.5</v>
      </c>
      <c r="G9" s="9">
        <v>59.5</v>
      </c>
      <c r="H9" s="8" t="s">
        <v>3647</v>
      </c>
      <c r="I9" s="7" t="s">
        <v>3355</v>
      </c>
      <c r="J9" s="11" t="s">
        <v>3186</v>
      </c>
      <c r="K9" s="7" t="s">
        <v>3208</v>
      </c>
      <c r="L9" s="7" t="s">
        <v>3209</v>
      </c>
      <c r="M9" s="12" t="str">
        <f>HYPERLINK("http://slimages.macys.com/is/image/MCY/3902112 ")</f>
        <v xml:space="preserve">http://slimages.macys.com/is/image/MCY/3902112 </v>
      </c>
    </row>
    <row r="10" spans="1:13" ht="15.2" customHeight="1" x14ac:dyDescent="0.2">
      <c r="A10" s="6" t="s">
        <v>3067</v>
      </c>
      <c r="B10" s="7" t="s">
        <v>3068</v>
      </c>
      <c r="C10" s="8">
        <v>1</v>
      </c>
      <c r="D10" s="9">
        <v>23.8</v>
      </c>
      <c r="E10" s="9">
        <v>23.8</v>
      </c>
      <c r="F10" s="10">
        <v>59.5</v>
      </c>
      <c r="G10" s="9">
        <v>59.5</v>
      </c>
      <c r="H10" s="8" t="s">
        <v>3647</v>
      </c>
      <c r="I10" s="7" t="s">
        <v>3355</v>
      </c>
      <c r="J10" s="11" t="s">
        <v>3231</v>
      </c>
      <c r="K10" s="7" t="s">
        <v>3208</v>
      </c>
      <c r="L10" s="7" t="s">
        <v>3209</v>
      </c>
      <c r="M10" s="12" t="str">
        <f>HYPERLINK("http://slimages.macys.com/is/image/MCY/3902112 ")</f>
        <v xml:space="preserve">http://slimages.macys.com/is/image/MCY/3902112 </v>
      </c>
    </row>
    <row r="11" spans="1:13" ht="15.2" customHeight="1" x14ac:dyDescent="0.2">
      <c r="A11" s="6" t="s">
        <v>3069</v>
      </c>
      <c r="B11" s="7" t="s">
        <v>3070</v>
      </c>
      <c r="C11" s="8">
        <v>1</v>
      </c>
      <c r="D11" s="9">
        <v>23</v>
      </c>
      <c r="E11" s="9">
        <v>23</v>
      </c>
      <c r="F11" s="10">
        <v>54.99</v>
      </c>
      <c r="G11" s="9">
        <v>54.99</v>
      </c>
      <c r="H11" s="8" t="s">
        <v>3071</v>
      </c>
      <c r="I11" s="7" t="s">
        <v>3293</v>
      </c>
      <c r="J11" s="11" t="s">
        <v>3347</v>
      </c>
      <c r="K11" s="7" t="s">
        <v>3241</v>
      </c>
      <c r="L11" s="7" t="s">
        <v>3632</v>
      </c>
      <c r="M11" s="12" t="str">
        <f>HYPERLINK("http://slimages.macys.com/is/image/MCY/3924464 ")</f>
        <v xml:space="preserve">http://slimages.macys.com/is/image/MCY/3924464 </v>
      </c>
    </row>
    <row r="12" spans="1:13" ht="15.2" customHeight="1" x14ac:dyDescent="0.2">
      <c r="A12" s="6" t="s">
        <v>3072</v>
      </c>
      <c r="B12" s="7" t="s">
        <v>3073</v>
      </c>
      <c r="C12" s="8">
        <v>1</v>
      </c>
      <c r="D12" s="9">
        <v>22.55</v>
      </c>
      <c r="E12" s="9">
        <v>22.55</v>
      </c>
      <c r="F12" s="10">
        <v>64.5</v>
      </c>
      <c r="G12" s="9">
        <v>64.5</v>
      </c>
      <c r="H12" s="8" t="s">
        <v>3074</v>
      </c>
      <c r="I12" s="7" t="s">
        <v>3246</v>
      </c>
      <c r="J12" s="11" t="s">
        <v>3202</v>
      </c>
      <c r="K12" s="7" t="s">
        <v>3232</v>
      </c>
      <c r="L12" s="7" t="s">
        <v>3233</v>
      </c>
      <c r="M12" s="12" t="str">
        <f>HYPERLINK("http://slimages.macys.com/is/image/MCY/3274918 ")</f>
        <v xml:space="preserve">http://slimages.macys.com/is/image/MCY/3274918 </v>
      </c>
    </row>
    <row r="13" spans="1:13" ht="15.2" customHeight="1" x14ac:dyDescent="0.2">
      <c r="A13" s="6" t="s">
        <v>3075</v>
      </c>
      <c r="B13" s="7" t="s">
        <v>3076</v>
      </c>
      <c r="C13" s="8">
        <v>1</v>
      </c>
      <c r="D13" s="9">
        <v>22</v>
      </c>
      <c r="E13" s="9">
        <v>22</v>
      </c>
      <c r="F13" s="10">
        <v>69</v>
      </c>
      <c r="G13" s="9">
        <v>69</v>
      </c>
      <c r="H13" s="8" t="s">
        <v>3077</v>
      </c>
      <c r="I13" s="7" t="s">
        <v>3216</v>
      </c>
      <c r="J13" s="11" t="s">
        <v>3231</v>
      </c>
      <c r="K13" s="7" t="s">
        <v>3217</v>
      </c>
      <c r="L13" s="7" t="s">
        <v>3218</v>
      </c>
      <c r="M13" s="12" t="str">
        <f>HYPERLINK("http://slimages.macys.com/is/image/MCY/3717659 ")</f>
        <v xml:space="preserve">http://slimages.macys.com/is/image/MCY/3717659 </v>
      </c>
    </row>
    <row r="14" spans="1:13" ht="15.2" customHeight="1" x14ac:dyDescent="0.2">
      <c r="A14" s="6" t="s">
        <v>3078</v>
      </c>
      <c r="B14" s="7" t="s">
        <v>3079</v>
      </c>
      <c r="C14" s="8">
        <v>1</v>
      </c>
      <c r="D14" s="9">
        <v>22</v>
      </c>
      <c r="E14" s="9">
        <v>22</v>
      </c>
      <c r="F14" s="10">
        <v>69</v>
      </c>
      <c r="G14" s="9">
        <v>69</v>
      </c>
      <c r="H14" s="8" t="s">
        <v>2359</v>
      </c>
      <c r="I14" s="7" t="s">
        <v>3911</v>
      </c>
      <c r="J14" s="11" t="s">
        <v>3271</v>
      </c>
      <c r="K14" s="7" t="s">
        <v>3205</v>
      </c>
      <c r="L14" s="7" t="s">
        <v>3206</v>
      </c>
      <c r="M14" s="12" t="str">
        <f>HYPERLINK("http://slimages.macys.com/is/image/MCY/3937114 ")</f>
        <v xml:space="preserve">http://slimages.macys.com/is/image/MCY/3937114 </v>
      </c>
    </row>
    <row r="15" spans="1:13" ht="15.2" customHeight="1" x14ac:dyDescent="0.2">
      <c r="A15" s="6" t="s">
        <v>3080</v>
      </c>
      <c r="B15" s="7" t="s">
        <v>3081</v>
      </c>
      <c r="C15" s="8">
        <v>1</v>
      </c>
      <c r="D15" s="9">
        <v>22</v>
      </c>
      <c r="E15" s="9">
        <v>22</v>
      </c>
      <c r="F15" s="10">
        <v>69</v>
      </c>
      <c r="G15" s="9">
        <v>69</v>
      </c>
      <c r="H15" s="8" t="s">
        <v>3082</v>
      </c>
      <c r="I15" s="7" t="s">
        <v>3216</v>
      </c>
      <c r="J15" s="11" t="s">
        <v>3186</v>
      </c>
      <c r="K15" s="7" t="s">
        <v>3217</v>
      </c>
      <c r="L15" s="7" t="s">
        <v>3218</v>
      </c>
      <c r="M15" s="12" t="str">
        <f>HYPERLINK("http://slimages.macys.com/is/image/MCY/3801749 ")</f>
        <v xml:space="preserve">http://slimages.macys.com/is/image/MCY/3801749 </v>
      </c>
    </row>
    <row r="16" spans="1:13" ht="15.2" customHeight="1" x14ac:dyDescent="0.2">
      <c r="A16" s="6" t="s">
        <v>3083</v>
      </c>
      <c r="B16" s="7" t="s">
        <v>3084</v>
      </c>
      <c r="C16" s="8">
        <v>1</v>
      </c>
      <c r="D16" s="9">
        <v>22</v>
      </c>
      <c r="E16" s="9">
        <v>22</v>
      </c>
      <c r="F16" s="10">
        <v>69</v>
      </c>
      <c r="G16" s="9">
        <v>69</v>
      </c>
      <c r="H16" s="8" t="s">
        <v>2359</v>
      </c>
      <c r="I16" s="7" t="s">
        <v>3911</v>
      </c>
      <c r="J16" s="11" t="s">
        <v>3204</v>
      </c>
      <c r="K16" s="7" t="s">
        <v>3205</v>
      </c>
      <c r="L16" s="7" t="s">
        <v>3206</v>
      </c>
      <c r="M16" s="12" t="str">
        <f>HYPERLINK("http://slimages.macys.com/is/image/MCY/3937114 ")</f>
        <v xml:space="preserve">http://slimages.macys.com/is/image/MCY/3937114 </v>
      </c>
    </row>
    <row r="17" spans="1:13" ht="15.2" customHeight="1" x14ac:dyDescent="0.2">
      <c r="A17" s="6" t="s">
        <v>3085</v>
      </c>
      <c r="B17" s="7" t="s">
        <v>3086</v>
      </c>
      <c r="C17" s="8">
        <v>1</v>
      </c>
      <c r="D17" s="9">
        <v>20.65</v>
      </c>
      <c r="E17" s="9">
        <v>20.65</v>
      </c>
      <c r="F17" s="10">
        <v>59</v>
      </c>
      <c r="G17" s="9">
        <v>59</v>
      </c>
      <c r="H17" s="8" t="s">
        <v>3087</v>
      </c>
      <c r="I17" s="7" t="s">
        <v>3364</v>
      </c>
      <c r="J17" s="11" t="s">
        <v>3242</v>
      </c>
      <c r="K17" s="7" t="s">
        <v>3217</v>
      </c>
      <c r="L17" s="7" t="s">
        <v>3218</v>
      </c>
      <c r="M17" s="12" t="str">
        <f>HYPERLINK("http://slimages.macys.com/is/image/MCY/3820522 ")</f>
        <v xml:space="preserve">http://slimages.macys.com/is/image/MCY/3820522 </v>
      </c>
    </row>
    <row r="18" spans="1:13" ht="15.2" customHeight="1" x14ac:dyDescent="0.2">
      <c r="A18" s="6" t="s">
        <v>3088</v>
      </c>
      <c r="B18" s="7" t="s">
        <v>3089</v>
      </c>
      <c r="C18" s="8">
        <v>2</v>
      </c>
      <c r="D18" s="9">
        <v>20.079999999999998</v>
      </c>
      <c r="E18" s="9">
        <v>40.159999999999997</v>
      </c>
      <c r="F18" s="10">
        <v>46.25</v>
      </c>
      <c r="G18" s="9">
        <v>92.5</v>
      </c>
      <c r="H18" s="8" t="s">
        <v>2204</v>
      </c>
      <c r="I18" s="7" t="s">
        <v>3191</v>
      </c>
      <c r="J18" s="11" t="s">
        <v>3331</v>
      </c>
      <c r="K18" s="7" t="s">
        <v>3221</v>
      </c>
      <c r="L18" s="7" t="s">
        <v>3224</v>
      </c>
      <c r="M18" s="12" t="str">
        <f>HYPERLINK("http://slimages.macys.com/is/image/MCY/3724372 ")</f>
        <v xml:space="preserve">http://slimages.macys.com/is/image/MCY/3724372 </v>
      </c>
    </row>
    <row r="19" spans="1:13" ht="15.2" customHeight="1" x14ac:dyDescent="0.2">
      <c r="A19" s="6" t="s">
        <v>3090</v>
      </c>
      <c r="B19" s="7" t="s">
        <v>3091</v>
      </c>
      <c r="C19" s="8">
        <v>1</v>
      </c>
      <c r="D19" s="9">
        <v>20.079999999999998</v>
      </c>
      <c r="E19" s="9">
        <v>20.079999999999998</v>
      </c>
      <c r="F19" s="10">
        <v>46.25</v>
      </c>
      <c r="G19" s="9">
        <v>46.25</v>
      </c>
      <c r="H19" s="8" t="s">
        <v>2204</v>
      </c>
      <c r="I19" s="7" t="s">
        <v>3191</v>
      </c>
      <c r="J19" s="11" t="s">
        <v>3092</v>
      </c>
      <c r="K19" s="7" t="s">
        <v>3221</v>
      </c>
      <c r="L19" s="7" t="s">
        <v>3224</v>
      </c>
      <c r="M19" s="12" t="str">
        <f>HYPERLINK("http://slimages.macys.com/is/image/MCY/3724372 ")</f>
        <v xml:space="preserve">http://slimages.macys.com/is/image/MCY/3724372 </v>
      </c>
    </row>
    <row r="20" spans="1:13" ht="15.2" customHeight="1" x14ac:dyDescent="0.2">
      <c r="A20" s="6" t="s">
        <v>3093</v>
      </c>
      <c r="B20" s="7" t="s">
        <v>3094</v>
      </c>
      <c r="C20" s="8">
        <v>1</v>
      </c>
      <c r="D20" s="9">
        <v>19.98</v>
      </c>
      <c r="E20" s="9">
        <v>19.98</v>
      </c>
      <c r="F20" s="10">
        <v>54</v>
      </c>
      <c r="G20" s="9">
        <v>54</v>
      </c>
      <c r="H20" s="8" t="s">
        <v>3095</v>
      </c>
      <c r="I20" s="7" t="s">
        <v>3234</v>
      </c>
      <c r="J20" s="11" t="s">
        <v>3202</v>
      </c>
      <c r="K20" s="7" t="s">
        <v>3768</v>
      </c>
      <c r="L20" s="7" t="s">
        <v>3769</v>
      </c>
      <c r="M20" s="12" t="str">
        <f>HYPERLINK("http://slimages.macys.com/is/image/MCY/3793630 ")</f>
        <v xml:space="preserve">http://slimages.macys.com/is/image/MCY/3793630 </v>
      </c>
    </row>
    <row r="21" spans="1:13" ht="15.2" customHeight="1" x14ac:dyDescent="0.2">
      <c r="A21" s="6" t="s">
        <v>3096</v>
      </c>
      <c r="B21" s="7" t="s">
        <v>3097</v>
      </c>
      <c r="C21" s="8">
        <v>1</v>
      </c>
      <c r="D21" s="9">
        <v>19.5</v>
      </c>
      <c r="E21" s="9">
        <v>19.5</v>
      </c>
      <c r="F21" s="10">
        <v>59</v>
      </c>
      <c r="G21" s="9">
        <v>59</v>
      </c>
      <c r="H21" s="8" t="s">
        <v>3655</v>
      </c>
      <c r="I21" s="7" t="s">
        <v>3286</v>
      </c>
      <c r="J21" s="11" t="s">
        <v>3220</v>
      </c>
      <c r="K21" s="7" t="s">
        <v>3217</v>
      </c>
      <c r="L21" s="7" t="s">
        <v>3218</v>
      </c>
      <c r="M21" s="12" t="str">
        <f>HYPERLINK("http://slimages.macys.com/is/image/MCY/3899530 ")</f>
        <v xml:space="preserve">http://slimages.macys.com/is/image/MCY/3899530 </v>
      </c>
    </row>
    <row r="22" spans="1:13" ht="15.2" customHeight="1" x14ac:dyDescent="0.2">
      <c r="A22" s="6" t="s">
        <v>3098</v>
      </c>
      <c r="B22" s="7" t="s">
        <v>3099</v>
      </c>
      <c r="C22" s="8">
        <v>1</v>
      </c>
      <c r="D22" s="9">
        <v>19.5</v>
      </c>
      <c r="E22" s="9">
        <v>19.5</v>
      </c>
      <c r="F22" s="10">
        <v>59</v>
      </c>
      <c r="G22" s="9">
        <v>59</v>
      </c>
      <c r="H22" s="8" t="s">
        <v>3655</v>
      </c>
      <c r="I22" s="7" t="s">
        <v>3286</v>
      </c>
      <c r="J22" s="11" t="s">
        <v>3242</v>
      </c>
      <c r="K22" s="7" t="s">
        <v>3217</v>
      </c>
      <c r="L22" s="7" t="s">
        <v>3218</v>
      </c>
      <c r="M22" s="12" t="str">
        <f>HYPERLINK("http://slimages.macys.com/is/image/MCY/3899530 ")</f>
        <v xml:space="preserve">http://slimages.macys.com/is/image/MCY/3899530 </v>
      </c>
    </row>
    <row r="23" spans="1:13" ht="15.2" customHeight="1" x14ac:dyDescent="0.2">
      <c r="A23" s="6" t="s">
        <v>2526</v>
      </c>
      <c r="B23" s="7" t="s">
        <v>2527</v>
      </c>
      <c r="C23" s="8">
        <v>1</v>
      </c>
      <c r="D23" s="9">
        <v>18.989999999999998</v>
      </c>
      <c r="E23" s="9">
        <v>18.989999999999998</v>
      </c>
      <c r="F23" s="10">
        <v>43.5</v>
      </c>
      <c r="G23" s="9">
        <v>43.5</v>
      </c>
      <c r="H23" s="8" t="s">
        <v>3848</v>
      </c>
      <c r="I23" s="7" t="s">
        <v>3263</v>
      </c>
      <c r="J23" s="11" t="s">
        <v>3351</v>
      </c>
      <c r="K23" s="7" t="s">
        <v>3221</v>
      </c>
      <c r="L23" s="7" t="s">
        <v>3224</v>
      </c>
      <c r="M23" s="12" t="str">
        <f t="shared" ref="M23:M28" si="0">HYPERLINK("http://slimages.macys.com/is/image/MCY/3721274 ")</f>
        <v xml:space="preserve">http://slimages.macys.com/is/image/MCY/3721274 </v>
      </c>
    </row>
    <row r="24" spans="1:13" ht="15.2" customHeight="1" x14ac:dyDescent="0.2">
      <c r="A24" s="6" t="s">
        <v>4058</v>
      </c>
      <c r="B24" s="7" t="s">
        <v>4059</v>
      </c>
      <c r="C24" s="8">
        <v>1</v>
      </c>
      <c r="D24" s="9">
        <v>18.989999999999998</v>
      </c>
      <c r="E24" s="9">
        <v>18.989999999999998</v>
      </c>
      <c r="F24" s="10">
        <v>43.5</v>
      </c>
      <c r="G24" s="9">
        <v>43.5</v>
      </c>
      <c r="H24" s="8" t="s">
        <v>3848</v>
      </c>
      <c r="I24" s="7" t="s">
        <v>3263</v>
      </c>
      <c r="J24" s="11" t="s">
        <v>3271</v>
      </c>
      <c r="K24" s="7" t="s">
        <v>3221</v>
      </c>
      <c r="L24" s="7" t="s">
        <v>3224</v>
      </c>
      <c r="M24" s="12" t="str">
        <f t="shared" si="0"/>
        <v xml:space="preserve">http://slimages.macys.com/is/image/MCY/3721274 </v>
      </c>
    </row>
    <row r="25" spans="1:13" ht="15.2" customHeight="1" x14ac:dyDescent="0.2">
      <c r="A25" s="6" t="s">
        <v>2530</v>
      </c>
      <c r="B25" s="7" t="s">
        <v>2531</v>
      </c>
      <c r="C25" s="8">
        <v>1</v>
      </c>
      <c r="D25" s="9">
        <v>18.989999999999998</v>
      </c>
      <c r="E25" s="9">
        <v>18.989999999999998</v>
      </c>
      <c r="F25" s="10">
        <v>43.5</v>
      </c>
      <c r="G25" s="9">
        <v>43.5</v>
      </c>
      <c r="H25" s="8" t="s">
        <v>3848</v>
      </c>
      <c r="I25" s="7" t="s">
        <v>3257</v>
      </c>
      <c r="J25" s="11" t="s">
        <v>3204</v>
      </c>
      <c r="K25" s="7" t="s">
        <v>3221</v>
      </c>
      <c r="L25" s="7" t="s">
        <v>3224</v>
      </c>
      <c r="M25" s="12" t="str">
        <f t="shared" si="0"/>
        <v xml:space="preserve">http://slimages.macys.com/is/image/MCY/3721274 </v>
      </c>
    </row>
    <row r="26" spans="1:13" ht="15.2" customHeight="1" x14ac:dyDescent="0.2">
      <c r="A26" s="6" t="s">
        <v>3100</v>
      </c>
      <c r="B26" s="7" t="s">
        <v>3101</v>
      </c>
      <c r="C26" s="8">
        <v>1</v>
      </c>
      <c r="D26" s="9">
        <v>18.989999999999998</v>
      </c>
      <c r="E26" s="9">
        <v>18.989999999999998</v>
      </c>
      <c r="F26" s="10">
        <v>43.5</v>
      </c>
      <c r="G26" s="9">
        <v>43.5</v>
      </c>
      <c r="H26" s="8" t="s">
        <v>3848</v>
      </c>
      <c r="I26" s="7" t="s">
        <v>3203</v>
      </c>
      <c r="J26" s="11" t="s">
        <v>3338</v>
      </c>
      <c r="K26" s="7" t="s">
        <v>3221</v>
      </c>
      <c r="L26" s="7" t="s">
        <v>3224</v>
      </c>
      <c r="M26" s="12" t="str">
        <f t="shared" si="0"/>
        <v xml:space="preserve">http://slimages.macys.com/is/image/MCY/3721274 </v>
      </c>
    </row>
    <row r="27" spans="1:13" ht="15.2" customHeight="1" x14ac:dyDescent="0.2">
      <c r="A27" s="6" t="s">
        <v>2205</v>
      </c>
      <c r="B27" s="7" t="s">
        <v>2206</v>
      </c>
      <c r="C27" s="8">
        <v>2</v>
      </c>
      <c r="D27" s="9">
        <v>18.989999999999998</v>
      </c>
      <c r="E27" s="9">
        <v>37.979999999999997</v>
      </c>
      <c r="F27" s="10">
        <v>43.5</v>
      </c>
      <c r="G27" s="9">
        <v>87</v>
      </c>
      <c r="H27" s="8" t="s">
        <v>3848</v>
      </c>
      <c r="I27" s="7" t="s">
        <v>3257</v>
      </c>
      <c r="J27" s="11" t="s">
        <v>3331</v>
      </c>
      <c r="K27" s="7" t="s">
        <v>3221</v>
      </c>
      <c r="L27" s="7" t="s">
        <v>3224</v>
      </c>
      <c r="M27" s="12" t="str">
        <f t="shared" si="0"/>
        <v xml:space="preserve">http://slimages.macys.com/is/image/MCY/3721274 </v>
      </c>
    </row>
    <row r="28" spans="1:13" ht="15.2" customHeight="1" x14ac:dyDescent="0.2">
      <c r="A28" s="6" t="s">
        <v>3102</v>
      </c>
      <c r="B28" s="7" t="s">
        <v>3103</v>
      </c>
      <c r="C28" s="8">
        <v>1</v>
      </c>
      <c r="D28" s="9">
        <v>18.989999999999998</v>
      </c>
      <c r="E28" s="9">
        <v>18.989999999999998</v>
      </c>
      <c r="F28" s="10">
        <v>43.5</v>
      </c>
      <c r="G28" s="9">
        <v>43.5</v>
      </c>
      <c r="H28" s="8" t="s">
        <v>3848</v>
      </c>
      <c r="I28" s="7" t="s">
        <v>3263</v>
      </c>
      <c r="J28" s="11" t="s">
        <v>3338</v>
      </c>
      <c r="K28" s="7" t="s">
        <v>3221</v>
      </c>
      <c r="L28" s="7" t="s">
        <v>3224</v>
      </c>
      <c r="M28" s="12" t="str">
        <f t="shared" si="0"/>
        <v xml:space="preserve">http://slimages.macys.com/is/image/MCY/3721274 </v>
      </c>
    </row>
    <row r="29" spans="1:13" ht="15.2" customHeight="1" x14ac:dyDescent="0.2">
      <c r="A29" s="6" t="s">
        <v>2541</v>
      </c>
      <c r="B29" s="7" t="s">
        <v>2542</v>
      </c>
      <c r="C29" s="8">
        <v>1</v>
      </c>
      <c r="D29" s="9">
        <v>18.75</v>
      </c>
      <c r="E29" s="9">
        <v>18.75</v>
      </c>
      <c r="F29" s="10">
        <v>59</v>
      </c>
      <c r="G29" s="9">
        <v>59</v>
      </c>
      <c r="H29" s="8" t="s">
        <v>3245</v>
      </c>
      <c r="I29" s="7" t="s">
        <v>3246</v>
      </c>
      <c r="J29" s="11"/>
      <c r="K29" s="7" t="s">
        <v>3217</v>
      </c>
      <c r="L29" s="7" t="s">
        <v>3218</v>
      </c>
      <c r="M29" s="12" t="str">
        <f>HYPERLINK("http://slimages.macys.com/is/image/MCY/3937226 ")</f>
        <v xml:space="preserve">http://slimages.macys.com/is/image/MCY/3937226 </v>
      </c>
    </row>
    <row r="30" spans="1:13" ht="15.2" customHeight="1" x14ac:dyDescent="0.2">
      <c r="A30" s="6" t="s">
        <v>3104</v>
      </c>
      <c r="B30" s="7" t="s">
        <v>3105</v>
      </c>
      <c r="C30" s="8">
        <v>1</v>
      </c>
      <c r="D30" s="9">
        <v>18.75</v>
      </c>
      <c r="E30" s="9">
        <v>18.75</v>
      </c>
      <c r="F30" s="10">
        <v>59</v>
      </c>
      <c r="G30" s="9">
        <v>59</v>
      </c>
      <c r="H30" s="8" t="s">
        <v>3245</v>
      </c>
      <c r="I30" s="7" t="s">
        <v>3286</v>
      </c>
      <c r="J30" s="11"/>
      <c r="K30" s="7" t="s">
        <v>3217</v>
      </c>
      <c r="L30" s="7" t="s">
        <v>3218</v>
      </c>
      <c r="M30" s="12" t="str">
        <f>HYPERLINK("http://slimages.macys.com/is/image/MCY/3937226 ")</f>
        <v xml:space="preserve">http://slimages.macys.com/is/image/MCY/3937226 </v>
      </c>
    </row>
    <row r="31" spans="1:13" ht="15.2" customHeight="1" x14ac:dyDescent="0.2">
      <c r="A31" s="6" t="s">
        <v>3106</v>
      </c>
      <c r="B31" s="7" t="s">
        <v>3107</v>
      </c>
      <c r="C31" s="8">
        <v>1</v>
      </c>
      <c r="D31" s="9">
        <v>18.75</v>
      </c>
      <c r="E31" s="9">
        <v>18.75</v>
      </c>
      <c r="F31" s="10">
        <v>59</v>
      </c>
      <c r="G31" s="9">
        <v>59</v>
      </c>
      <c r="H31" s="8" t="s">
        <v>2545</v>
      </c>
      <c r="I31" s="7" t="s">
        <v>3191</v>
      </c>
      <c r="J31" s="11"/>
      <c r="K31" s="7" t="s">
        <v>3217</v>
      </c>
      <c r="L31" s="7" t="s">
        <v>3218</v>
      </c>
      <c r="M31" s="12" t="str">
        <f>HYPERLINK("http://slimages.macys.com/is/image/MCY/3675892 ")</f>
        <v xml:space="preserve">http://slimages.macys.com/is/image/MCY/3675892 </v>
      </c>
    </row>
    <row r="32" spans="1:13" ht="15.2" customHeight="1" x14ac:dyDescent="0.2">
      <c r="A32" s="6" t="s">
        <v>3108</v>
      </c>
      <c r="B32" s="7" t="s">
        <v>3109</v>
      </c>
      <c r="C32" s="8">
        <v>1</v>
      </c>
      <c r="D32" s="9">
        <v>18.75</v>
      </c>
      <c r="E32" s="9">
        <v>18.75</v>
      </c>
      <c r="F32" s="10">
        <v>59</v>
      </c>
      <c r="G32" s="9">
        <v>59</v>
      </c>
      <c r="H32" s="8" t="s">
        <v>2545</v>
      </c>
      <c r="I32" s="7" t="s">
        <v>3191</v>
      </c>
      <c r="J32" s="11"/>
      <c r="K32" s="7" t="s">
        <v>3217</v>
      </c>
      <c r="L32" s="7" t="s">
        <v>3218</v>
      </c>
      <c r="M32" s="12" t="str">
        <f>HYPERLINK("http://slimages.macys.com/is/image/MCY/3675892 ")</f>
        <v xml:space="preserve">http://slimages.macys.com/is/image/MCY/3675892 </v>
      </c>
    </row>
    <row r="33" spans="1:13" ht="15.2" customHeight="1" x14ac:dyDescent="0.2">
      <c r="A33" s="6" t="s">
        <v>3243</v>
      </c>
      <c r="B33" s="7" t="s">
        <v>3244</v>
      </c>
      <c r="C33" s="8">
        <v>1</v>
      </c>
      <c r="D33" s="9">
        <v>18.75</v>
      </c>
      <c r="E33" s="9">
        <v>18.75</v>
      </c>
      <c r="F33" s="10">
        <v>59</v>
      </c>
      <c r="G33" s="9">
        <v>59</v>
      </c>
      <c r="H33" s="8" t="s">
        <v>3245</v>
      </c>
      <c r="I33" s="7" t="s">
        <v>3246</v>
      </c>
      <c r="J33" s="11"/>
      <c r="K33" s="7" t="s">
        <v>3217</v>
      </c>
      <c r="L33" s="7" t="s">
        <v>3218</v>
      </c>
      <c r="M33" s="12" t="str">
        <f>HYPERLINK("http://slimages.macys.com/is/image/MCY/3937226 ")</f>
        <v xml:space="preserve">http://slimages.macys.com/is/image/MCY/3937226 </v>
      </c>
    </row>
    <row r="34" spans="1:13" ht="15.2" customHeight="1" x14ac:dyDescent="0.2">
      <c r="A34" s="6" t="s">
        <v>4062</v>
      </c>
      <c r="B34" s="7" t="s">
        <v>4063</v>
      </c>
      <c r="C34" s="8">
        <v>1</v>
      </c>
      <c r="D34" s="9">
        <v>18.75</v>
      </c>
      <c r="E34" s="9">
        <v>18.75</v>
      </c>
      <c r="F34" s="10">
        <v>59</v>
      </c>
      <c r="G34" s="9">
        <v>59</v>
      </c>
      <c r="H34" s="8" t="s">
        <v>3245</v>
      </c>
      <c r="I34" s="7" t="s">
        <v>3286</v>
      </c>
      <c r="J34" s="11"/>
      <c r="K34" s="7" t="s">
        <v>3217</v>
      </c>
      <c r="L34" s="7" t="s">
        <v>3218</v>
      </c>
      <c r="M34" s="12" t="str">
        <f>HYPERLINK("http://slimages.macys.com/is/image/MCY/3937226 ")</f>
        <v xml:space="preserve">http://slimages.macys.com/is/image/MCY/3937226 </v>
      </c>
    </row>
    <row r="35" spans="1:13" ht="15.2" customHeight="1" x14ac:dyDescent="0.2">
      <c r="A35" s="6" t="s">
        <v>2207</v>
      </c>
      <c r="B35" s="7" t="s">
        <v>2208</v>
      </c>
      <c r="C35" s="8">
        <v>1</v>
      </c>
      <c r="D35" s="9">
        <v>18.75</v>
      </c>
      <c r="E35" s="9">
        <v>18.75</v>
      </c>
      <c r="F35" s="10">
        <v>59</v>
      </c>
      <c r="G35" s="9">
        <v>59</v>
      </c>
      <c r="H35" s="8" t="s">
        <v>3245</v>
      </c>
      <c r="I35" s="7" t="s">
        <v>3286</v>
      </c>
      <c r="J35" s="11"/>
      <c r="K35" s="7" t="s">
        <v>3217</v>
      </c>
      <c r="L35" s="7" t="s">
        <v>3218</v>
      </c>
      <c r="M35" s="12" t="str">
        <f>HYPERLINK("http://slimages.macys.com/is/image/MCY/3937226 ")</f>
        <v xml:space="preserve">http://slimages.macys.com/is/image/MCY/3937226 </v>
      </c>
    </row>
    <row r="36" spans="1:13" ht="15.2" customHeight="1" x14ac:dyDescent="0.2">
      <c r="A36" s="6" t="s">
        <v>3110</v>
      </c>
      <c r="B36" s="7" t="s">
        <v>3111</v>
      </c>
      <c r="C36" s="8">
        <v>1</v>
      </c>
      <c r="D36" s="9">
        <v>18.23</v>
      </c>
      <c r="E36" s="9">
        <v>18.23</v>
      </c>
      <c r="F36" s="10">
        <v>49.99</v>
      </c>
      <c r="G36" s="9">
        <v>49.99</v>
      </c>
      <c r="H36" s="8" t="s">
        <v>3855</v>
      </c>
      <c r="I36" s="7" t="s">
        <v>3182</v>
      </c>
      <c r="J36" s="11" t="s">
        <v>3202</v>
      </c>
      <c r="K36" s="7" t="s">
        <v>3221</v>
      </c>
      <c r="L36" s="7" t="s">
        <v>3253</v>
      </c>
      <c r="M36" s="12" t="str">
        <f>HYPERLINK("http://slimages.macys.com/is/image/MCY/3954961 ")</f>
        <v xml:space="preserve">http://slimages.macys.com/is/image/MCY/3954961 </v>
      </c>
    </row>
    <row r="37" spans="1:13" ht="15.2" customHeight="1" x14ac:dyDescent="0.2">
      <c r="A37" s="6" t="s">
        <v>3258</v>
      </c>
      <c r="B37" s="7" t="s">
        <v>3259</v>
      </c>
      <c r="C37" s="8">
        <v>1</v>
      </c>
      <c r="D37" s="9">
        <v>18.059999999999999</v>
      </c>
      <c r="E37" s="9">
        <v>18.059999999999999</v>
      </c>
      <c r="F37" s="10">
        <v>49.5</v>
      </c>
      <c r="G37" s="9">
        <v>49.5</v>
      </c>
      <c r="H37" s="8" t="s">
        <v>3256</v>
      </c>
      <c r="I37" s="7" t="s">
        <v>3257</v>
      </c>
      <c r="J37" s="11" t="s">
        <v>3186</v>
      </c>
      <c r="K37" s="7" t="s">
        <v>3221</v>
      </c>
      <c r="L37" s="7" t="s">
        <v>3224</v>
      </c>
      <c r="M37" s="12" t="str">
        <f>HYPERLINK("http://slimages.macys.com/is/image/MCY/3954975 ")</f>
        <v xml:space="preserve">http://slimages.macys.com/is/image/MCY/3954975 </v>
      </c>
    </row>
    <row r="38" spans="1:13" ht="15.2" customHeight="1" x14ac:dyDescent="0.2">
      <c r="A38" s="6" t="s">
        <v>3112</v>
      </c>
      <c r="B38" s="7" t="s">
        <v>3113</v>
      </c>
      <c r="C38" s="8">
        <v>1</v>
      </c>
      <c r="D38" s="9">
        <v>17.850000000000001</v>
      </c>
      <c r="E38" s="9">
        <v>17.850000000000001</v>
      </c>
      <c r="F38" s="10">
        <v>59.5</v>
      </c>
      <c r="G38" s="9">
        <v>59.5</v>
      </c>
      <c r="H38" s="8">
        <v>49022900</v>
      </c>
      <c r="I38" s="7" t="s">
        <v>3201</v>
      </c>
      <c r="J38" s="11" t="s">
        <v>3220</v>
      </c>
      <c r="K38" s="7" t="s">
        <v>3187</v>
      </c>
      <c r="L38" s="7" t="s">
        <v>3188</v>
      </c>
      <c r="M38" s="12" t="str">
        <f>HYPERLINK("http://slimages.macys.com/is/image/MCY/3939787 ")</f>
        <v xml:space="preserve">http://slimages.macys.com/is/image/MCY/3939787 </v>
      </c>
    </row>
    <row r="39" spans="1:13" ht="15.2" customHeight="1" x14ac:dyDescent="0.2">
      <c r="A39" s="6" t="s">
        <v>2558</v>
      </c>
      <c r="B39" s="7" t="s">
        <v>2559</v>
      </c>
      <c r="C39" s="8">
        <v>1</v>
      </c>
      <c r="D39" s="9">
        <v>17.670000000000002</v>
      </c>
      <c r="E39" s="9">
        <v>17.670000000000002</v>
      </c>
      <c r="F39" s="10">
        <v>49.5</v>
      </c>
      <c r="G39" s="9">
        <v>49.5</v>
      </c>
      <c r="H39" s="8" t="s">
        <v>2216</v>
      </c>
      <c r="I39" s="7" t="s">
        <v>3246</v>
      </c>
      <c r="J39" s="11" t="s">
        <v>3202</v>
      </c>
      <c r="K39" s="7" t="s">
        <v>3232</v>
      </c>
      <c r="L39" s="7" t="s">
        <v>3233</v>
      </c>
      <c r="M39" s="12" t="str">
        <f>HYPERLINK("http://slimages.macys.com/is/image/MCY/3758286 ")</f>
        <v xml:space="preserve">http://slimages.macys.com/is/image/MCY/3758286 </v>
      </c>
    </row>
    <row r="40" spans="1:13" ht="15.2" customHeight="1" x14ac:dyDescent="0.2">
      <c r="A40" s="6" t="s">
        <v>2556</v>
      </c>
      <c r="B40" s="7" t="s">
        <v>2557</v>
      </c>
      <c r="C40" s="8">
        <v>1</v>
      </c>
      <c r="D40" s="9">
        <v>17.670000000000002</v>
      </c>
      <c r="E40" s="9">
        <v>17.670000000000002</v>
      </c>
      <c r="F40" s="10">
        <v>49.5</v>
      </c>
      <c r="G40" s="9">
        <v>49.5</v>
      </c>
      <c r="H40" s="8" t="s">
        <v>2216</v>
      </c>
      <c r="I40" s="7" t="s">
        <v>3246</v>
      </c>
      <c r="J40" s="11" t="s">
        <v>3220</v>
      </c>
      <c r="K40" s="7" t="s">
        <v>3232</v>
      </c>
      <c r="L40" s="7" t="s">
        <v>3233</v>
      </c>
      <c r="M40" s="12" t="str">
        <f>HYPERLINK("http://slimages.macys.com/is/image/MCY/3758286 ")</f>
        <v xml:space="preserve">http://slimages.macys.com/is/image/MCY/3758286 </v>
      </c>
    </row>
    <row r="41" spans="1:13" ht="15.2" customHeight="1" x14ac:dyDescent="0.2">
      <c r="A41" s="6" t="s">
        <v>3114</v>
      </c>
      <c r="B41" s="7" t="s">
        <v>3115</v>
      </c>
      <c r="C41" s="8">
        <v>1</v>
      </c>
      <c r="D41" s="9">
        <v>17.55</v>
      </c>
      <c r="E41" s="9">
        <v>17.55</v>
      </c>
      <c r="F41" s="10">
        <v>49.5</v>
      </c>
      <c r="G41" s="9">
        <v>49.5</v>
      </c>
      <c r="H41" s="8" t="s">
        <v>3116</v>
      </c>
      <c r="I41" s="7" t="s">
        <v>3252</v>
      </c>
      <c r="J41" s="11" t="s">
        <v>3231</v>
      </c>
      <c r="K41" s="7" t="s">
        <v>3221</v>
      </c>
      <c r="L41" s="7" t="s">
        <v>3224</v>
      </c>
      <c r="M41" s="12" t="str">
        <f>HYPERLINK("http://slimages.macys.com/is/image/MCY/3650934 ")</f>
        <v xml:space="preserve">http://slimages.macys.com/is/image/MCY/3650934 </v>
      </c>
    </row>
    <row r="42" spans="1:13" ht="15.2" customHeight="1" x14ac:dyDescent="0.2">
      <c r="A42" s="6" t="s">
        <v>2568</v>
      </c>
      <c r="B42" s="7" t="s">
        <v>2569</v>
      </c>
      <c r="C42" s="8">
        <v>1</v>
      </c>
      <c r="D42" s="9">
        <v>17.25</v>
      </c>
      <c r="E42" s="9">
        <v>17.25</v>
      </c>
      <c r="F42" s="10">
        <v>49</v>
      </c>
      <c r="G42" s="9">
        <v>49</v>
      </c>
      <c r="H42" s="8" t="s">
        <v>2366</v>
      </c>
      <c r="I42" s="7" t="s">
        <v>3185</v>
      </c>
      <c r="J42" s="11" t="s">
        <v>3220</v>
      </c>
      <c r="K42" s="7" t="s">
        <v>3217</v>
      </c>
      <c r="L42" s="7" t="s">
        <v>3218</v>
      </c>
      <c r="M42" s="12" t="str">
        <f>HYPERLINK("http://slimages.macys.com/is/image/MCY/3801775 ")</f>
        <v xml:space="preserve">http://slimages.macys.com/is/image/MCY/3801775 </v>
      </c>
    </row>
    <row r="43" spans="1:13" ht="15.2" customHeight="1" x14ac:dyDescent="0.2">
      <c r="A43" s="6" t="s">
        <v>3117</v>
      </c>
      <c r="B43" s="7" t="s">
        <v>3118</v>
      </c>
      <c r="C43" s="8">
        <v>1</v>
      </c>
      <c r="D43" s="9">
        <v>17.25</v>
      </c>
      <c r="E43" s="9">
        <v>17.25</v>
      </c>
      <c r="F43" s="10">
        <v>49</v>
      </c>
      <c r="G43" s="9">
        <v>49</v>
      </c>
      <c r="H43" s="8" t="s">
        <v>3275</v>
      </c>
      <c r="I43" s="7" t="s">
        <v>3191</v>
      </c>
      <c r="J43" s="11" t="s">
        <v>3231</v>
      </c>
      <c r="K43" s="7" t="s">
        <v>3217</v>
      </c>
      <c r="L43" s="7" t="s">
        <v>3218</v>
      </c>
      <c r="M43" s="12" t="str">
        <f>HYPERLINK("http://slimages.macys.com/is/image/MCY/3507100 ")</f>
        <v xml:space="preserve">http://slimages.macys.com/is/image/MCY/3507100 </v>
      </c>
    </row>
    <row r="44" spans="1:13" ht="15.2" customHeight="1" x14ac:dyDescent="0.2">
      <c r="A44" s="6" t="s">
        <v>3272</v>
      </c>
      <c r="B44" s="7" t="s">
        <v>3273</v>
      </c>
      <c r="C44" s="8">
        <v>1</v>
      </c>
      <c r="D44" s="9">
        <v>17.25</v>
      </c>
      <c r="E44" s="9">
        <v>17.25</v>
      </c>
      <c r="F44" s="10">
        <v>49</v>
      </c>
      <c r="G44" s="9">
        <v>49</v>
      </c>
      <c r="H44" s="8" t="s">
        <v>3274</v>
      </c>
      <c r="I44" s="7" t="s">
        <v>3216</v>
      </c>
      <c r="J44" s="11" t="s">
        <v>3202</v>
      </c>
      <c r="K44" s="7" t="s">
        <v>3217</v>
      </c>
      <c r="L44" s="7" t="s">
        <v>3218</v>
      </c>
      <c r="M44" s="12" t="str">
        <f>HYPERLINK("http://slimages.macys.com/is/image/MCY/3820526 ")</f>
        <v xml:space="preserve">http://slimages.macys.com/is/image/MCY/3820526 </v>
      </c>
    </row>
    <row r="45" spans="1:13" ht="15.2" customHeight="1" x14ac:dyDescent="0.2">
      <c r="A45" s="6" t="s">
        <v>2364</v>
      </c>
      <c r="B45" s="7" t="s">
        <v>2365</v>
      </c>
      <c r="C45" s="8">
        <v>1</v>
      </c>
      <c r="D45" s="9">
        <v>17.25</v>
      </c>
      <c r="E45" s="9">
        <v>17.25</v>
      </c>
      <c r="F45" s="10">
        <v>49</v>
      </c>
      <c r="G45" s="9">
        <v>49</v>
      </c>
      <c r="H45" s="8" t="s">
        <v>2366</v>
      </c>
      <c r="I45" s="7" t="s">
        <v>3185</v>
      </c>
      <c r="J45" s="11" t="s">
        <v>3231</v>
      </c>
      <c r="K45" s="7" t="s">
        <v>3217</v>
      </c>
      <c r="L45" s="7" t="s">
        <v>3218</v>
      </c>
      <c r="M45" s="12" t="str">
        <f>HYPERLINK("http://slimages.macys.com/is/image/MCY/3801775 ")</f>
        <v xml:space="preserve">http://slimages.macys.com/is/image/MCY/3801775 </v>
      </c>
    </row>
    <row r="46" spans="1:13" ht="15.2" customHeight="1" x14ac:dyDescent="0.2">
      <c r="A46" s="6" t="s">
        <v>3119</v>
      </c>
      <c r="B46" s="7" t="s">
        <v>3120</v>
      </c>
      <c r="C46" s="8">
        <v>1</v>
      </c>
      <c r="D46" s="9">
        <v>17.2</v>
      </c>
      <c r="E46" s="9">
        <v>17.2</v>
      </c>
      <c r="F46" s="10">
        <v>34.99</v>
      </c>
      <c r="G46" s="9">
        <v>34.99</v>
      </c>
      <c r="H46" s="8">
        <v>228950003</v>
      </c>
      <c r="I46" s="7" t="s">
        <v>3286</v>
      </c>
      <c r="J46" s="11" t="s">
        <v>3220</v>
      </c>
      <c r="K46" s="7" t="s">
        <v>3183</v>
      </c>
      <c r="L46" s="7" t="s">
        <v>3184</v>
      </c>
      <c r="M46" s="12" t="str">
        <f>HYPERLINK("http://slimages.macys.com/is/image/MCY/3829640 ")</f>
        <v xml:space="preserve">http://slimages.macys.com/is/image/MCY/3829640 </v>
      </c>
    </row>
    <row r="47" spans="1:13" ht="15.2" customHeight="1" x14ac:dyDescent="0.2">
      <c r="A47" s="6" t="s">
        <v>3121</v>
      </c>
      <c r="B47" s="7" t="s">
        <v>3122</v>
      </c>
      <c r="C47" s="8">
        <v>1</v>
      </c>
      <c r="D47" s="9">
        <v>16.5</v>
      </c>
      <c r="E47" s="9">
        <v>16.5</v>
      </c>
      <c r="F47" s="10">
        <v>64</v>
      </c>
      <c r="G47" s="9">
        <v>64</v>
      </c>
      <c r="H47" s="8" t="s">
        <v>4230</v>
      </c>
      <c r="I47" s="7" t="s">
        <v>3333</v>
      </c>
      <c r="J47" s="11" t="s">
        <v>3192</v>
      </c>
      <c r="K47" s="7" t="s">
        <v>3281</v>
      </c>
      <c r="L47" s="7" t="s">
        <v>3282</v>
      </c>
      <c r="M47" s="12" t="str">
        <f>HYPERLINK("http://slimages.macys.com/is/image/MCY/3738523 ")</f>
        <v xml:space="preserve">http://slimages.macys.com/is/image/MCY/3738523 </v>
      </c>
    </row>
    <row r="48" spans="1:13" ht="15.2" customHeight="1" x14ac:dyDescent="0.2">
      <c r="A48" s="6" t="s">
        <v>3123</v>
      </c>
      <c r="B48" s="7" t="s">
        <v>3124</v>
      </c>
      <c r="C48" s="8">
        <v>1</v>
      </c>
      <c r="D48" s="9">
        <v>16.5</v>
      </c>
      <c r="E48" s="9">
        <v>16.5</v>
      </c>
      <c r="F48" s="10">
        <v>59</v>
      </c>
      <c r="G48" s="9">
        <v>59</v>
      </c>
      <c r="H48" s="8" t="s">
        <v>3125</v>
      </c>
      <c r="I48" s="7" t="s">
        <v>3182</v>
      </c>
      <c r="J48" s="11" t="s">
        <v>3211</v>
      </c>
      <c r="K48" s="7" t="s">
        <v>3281</v>
      </c>
      <c r="L48" s="7" t="s">
        <v>3367</v>
      </c>
      <c r="M48" s="12" t="str">
        <f>HYPERLINK("http://slimages.macys.com/is/image/MCY/3931840 ")</f>
        <v xml:space="preserve">http://slimages.macys.com/is/image/MCY/3931840 </v>
      </c>
    </row>
    <row r="49" spans="1:13" ht="15.2" customHeight="1" x14ac:dyDescent="0.2">
      <c r="A49" s="6" t="s">
        <v>3126</v>
      </c>
      <c r="B49" s="7" t="s">
        <v>3127</v>
      </c>
      <c r="C49" s="8">
        <v>1</v>
      </c>
      <c r="D49" s="9">
        <v>16.46</v>
      </c>
      <c r="E49" s="9">
        <v>16.46</v>
      </c>
      <c r="F49" s="10">
        <v>44.5</v>
      </c>
      <c r="G49" s="9">
        <v>44.5</v>
      </c>
      <c r="H49" s="8" t="s">
        <v>3128</v>
      </c>
      <c r="I49" s="7" t="s">
        <v>3185</v>
      </c>
      <c r="J49" s="11" t="s">
        <v>3236</v>
      </c>
      <c r="K49" s="7" t="s">
        <v>3232</v>
      </c>
      <c r="L49" s="7" t="s">
        <v>3308</v>
      </c>
      <c r="M49" s="12" t="str">
        <f>HYPERLINK("http://slimages.macys.com/is/image/MCY/3836412 ")</f>
        <v xml:space="preserve">http://slimages.macys.com/is/image/MCY/3836412 </v>
      </c>
    </row>
    <row r="50" spans="1:13" ht="15.2" customHeight="1" x14ac:dyDescent="0.2">
      <c r="A50" s="6" t="s">
        <v>3129</v>
      </c>
      <c r="B50" s="7" t="s">
        <v>3130</v>
      </c>
      <c r="C50" s="8">
        <v>1</v>
      </c>
      <c r="D50" s="9">
        <v>16.239999999999998</v>
      </c>
      <c r="E50" s="9">
        <v>16.239999999999998</v>
      </c>
      <c r="F50" s="10">
        <v>44.5</v>
      </c>
      <c r="G50" s="9">
        <v>44.5</v>
      </c>
      <c r="H50" s="8" t="s">
        <v>3667</v>
      </c>
      <c r="I50" s="7" t="s">
        <v>3228</v>
      </c>
      <c r="J50" s="11" t="s">
        <v>3310</v>
      </c>
      <c r="K50" s="7" t="s">
        <v>3221</v>
      </c>
      <c r="L50" s="7" t="s">
        <v>3254</v>
      </c>
      <c r="M50" s="12" t="str">
        <f>HYPERLINK("http://slimages.macys.com/is/image/MCY/3774436 ")</f>
        <v xml:space="preserve">http://slimages.macys.com/is/image/MCY/3774436 </v>
      </c>
    </row>
    <row r="51" spans="1:13" ht="15.2" customHeight="1" x14ac:dyDescent="0.2">
      <c r="A51" s="6" t="s">
        <v>3131</v>
      </c>
      <c r="B51" s="7" t="s">
        <v>3132</v>
      </c>
      <c r="C51" s="8">
        <v>1</v>
      </c>
      <c r="D51" s="9">
        <v>16</v>
      </c>
      <c r="E51" s="9">
        <v>16</v>
      </c>
      <c r="F51" s="10">
        <v>59</v>
      </c>
      <c r="G51" s="9">
        <v>59</v>
      </c>
      <c r="H51" s="8" t="s">
        <v>3133</v>
      </c>
      <c r="I51" s="7" t="s">
        <v>3185</v>
      </c>
      <c r="J51" s="11" t="s">
        <v>3211</v>
      </c>
      <c r="K51" s="7" t="s">
        <v>3281</v>
      </c>
      <c r="L51" s="7" t="s">
        <v>3521</v>
      </c>
      <c r="M51" s="12" t="str">
        <f>HYPERLINK("http://slimages.macys.com/is/image/MCY/3975502 ")</f>
        <v xml:space="preserve">http://slimages.macys.com/is/image/MCY/3975502 </v>
      </c>
    </row>
    <row r="52" spans="1:13" ht="15.2" customHeight="1" x14ac:dyDescent="0.2">
      <c r="A52" s="6" t="s">
        <v>3134</v>
      </c>
      <c r="B52" s="7" t="s">
        <v>3135</v>
      </c>
      <c r="C52" s="8">
        <v>1</v>
      </c>
      <c r="D52" s="9">
        <v>15.8</v>
      </c>
      <c r="E52" s="9">
        <v>15.8</v>
      </c>
      <c r="F52" s="10">
        <v>39.5</v>
      </c>
      <c r="G52" s="9">
        <v>39.5</v>
      </c>
      <c r="H52" s="8" t="s">
        <v>4066</v>
      </c>
      <c r="I52" s="7" t="s">
        <v>3210</v>
      </c>
      <c r="J52" s="11" t="s">
        <v>3231</v>
      </c>
      <c r="K52" s="7" t="s">
        <v>3208</v>
      </c>
      <c r="L52" s="7" t="s">
        <v>3209</v>
      </c>
      <c r="M52" s="12" t="str">
        <f>HYPERLINK("http://slimages.macys.com/is/image/MCY/3900659 ")</f>
        <v xml:space="preserve">http://slimages.macys.com/is/image/MCY/3900659 </v>
      </c>
    </row>
    <row r="53" spans="1:13" ht="15.2" customHeight="1" x14ac:dyDescent="0.2">
      <c r="A53" s="6" t="s">
        <v>3136</v>
      </c>
      <c r="B53" s="7" t="s">
        <v>3137</v>
      </c>
      <c r="C53" s="8">
        <v>1</v>
      </c>
      <c r="D53" s="9">
        <v>15.75</v>
      </c>
      <c r="E53" s="9">
        <v>15.75</v>
      </c>
      <c r="F53" s="10">
        <v>49</v>
      </c>
      <c r="G53" s="9">
        <v>49</v>
      </c>
      <c r="H53" s="8" t="s">
        <v>3287</v>
      </c>
      <c r="I53" s="7" t="s">
        <v>3288</v>
      </c>
      <c r="J53" s="11" t="s">
        <v>3220</v>
      </c>
      <c r="K53" s="7" t="s">
        <v>3217</v>
      </c>
      <c r="L53" s="7" t="s">
        <v>3218</v>
      </c>
      <c r="M53" s="12" t="str">
        <f>HYPERLINK("http://slimages.macys.com/is/image/MCY/3667805 ")</f>
        <v xml:space="preserve">http://slimages.macys.com/is/image/MCY/3667805 </v>
      </c>
    </row>
    <row r="54" spans="1:13" ht="15.2" customHeight="1" x14ac:dyDescent="0.2">
      <c r="A54" s="6" t="s">
        <v>2370</v>
      </c>
      <c r="B54" s="7" t="s">
        <v>2371</v>
      </c>
      <c r="C54" s="8">
        <v>1</v>
      </c>
      <c r="D54" s="9">
        <v>15</v>
      </c>
      <c r="E54" s="9">
        <v>15</v>
      </c>
      <c r="F54" s="10">
        <v>59</v>
      </c>
      <c r="G54" s="9">
        <v>59</v>
      </c>
      <c r="H54" s="8" t="s">
        <v>3299</v>
      </c>
      <c r="I54" s="7"/>
      <c r="J54" s="11" t="s">
        <v>3220</v>
      </c>
      <c r="K54" s="7" t="s">
        <v>3295</v>
      </c>
      <c r="L54" s="7" t="s">
        <v>3296</v>
      </c>
      <c r="M54" s="12" t="str">
        <f>HYPERLINK("http://slimages.macys.com/is/image/MCY/3667495 ")</f>
        <v xml:space="preserve">http://slimages.macys.com/is/image/MCY/3667495 </v>
      </c>
    </row>
    <row r="55" spans="1:13" ht="15.2" customHeight="1" x14ac:dyDescent="0.2">
      <c r="A55" s="6" t="s">
        <v>3138</v>
      </c>
      <c r="B55" s="7" t="s">
        <v>3139</v>
      </c>
      <c r="C55" s="8">
        <v>1</v>
      </c>
      <c r="D55" s="9">
        <v>15</v>
      </c>
      <c r="E55" s="9">
        <v>15</v>
      </c>
      <c r="F55" s="10">
        <v>49</v>
      </c>
      <c r="G55" s="9">
        <v>49</v>
      </c>
      <c r="H55" s="8" t="s">
        <v>3294</v>
      </c>
      <c r="I55" s="7" t="s">
        <v>3252</v>
      </c>
      <c r="J55" s="11" t="s">
        <v>3242</v>
      </c>
      <c r="K55" s="7" t="s">
        <v>3295</v>
      </c>
      <c r="L55" s="7" t="s">
        <v>3296</v>
      </c>
      <c r="M55" s="12" t="str">
        <f>HYPERLINK("http://slimages.macys.com/is/image/MCY/3801894 ")</f>
        <v xml:space="preserve">http://slimages.macys.com/is/image/MCY/3801894 </v>
      </c>
    </row>
    <row r="56" spans="1:13" ht="15.2" customHeight="1" x14ac:dyDescent="0.2">
      <c r="A56" s="6" t="s">
        <v>3297</v>
      </c>
      <c r="B56" s="7" t="s">
        <v>3298</v>
      </c>
      <c r="C56" s="8">
        <v>1</v>
      </c>
      <c r="D56" s="9">
        <v>15</v>
      </c>
      <c r="E56" s="9">
        <v>15</v>
      </c>
      <c r="F56" s="10">
        <v>59</v>
      </c>
      <c r="G56" s="9">
        <v>59</v>
      </c>
      <c r="H56" s="8" t="s">
        <v>3299</v>
      </c>
      <c r="I56" s="7"/>
      <c r="J56" s="11" t="s">
        <v>3236</v>
      </c>
      <c r="K56" s="7" t="s">
        <v>3295</v>
      </c>
      <c r="L56" s="7" t="s">
        <v>3296</v>
      </c>
      <c r="M56" s="12" t="str">
        <f>HYPERLINK("http://slimages.macys.com/is/image/MCY/3667495 ")</f>
        <v xml:space="preserve">http://slimages.macys.com/is/image/MCY/3667495 </v>
      </c>
    </row>
    <row r="57" spans="1:13" ht="15.2" customHeight="1" x14ac:dyDescent="0.2">
      <c r="A57" s="6" t="s">
        <v>3140</v>
      </c>
      <c r="B57" s="7" t="s">
        <v>3141</v>
      </c>
      <c r="C57" s="8">
        <v>1</v>
      </c>
      <c r="D57" s="9">
        <v>14.77</v>
      </c>
      <c r="E57" s="9">
        <v>14.77</v>
      </c>
      <c r="F57" s="10">
        <v>39.5</v>
      </c>
      <c r="G57" s="9">
        <v>39.5</v>
      </c>
      <c r="H57" s="8" t="s">
        <v>3142</v>
      </c>
      <c r="I57" s="7" t="s">
        <v>3339</v>
      </c>
      <c r="J57" s="11" t="s">
        <v>3202</v>
      </c>
      <c r="K57" s="7" t="s">
        <v>3221</v>
      </c>
      <c r="L57" s="7" t="s">
        <v>3224</v>
      </c>
      <c r="M57" s="12" t="str">
        <f>HYPERLINK("http://slimages.macys.com/is/image/MCY/3802120 ")</f>
        <v xml:space="preserve">http://slimages.macys.com/is/image/MCY/3802120 </v>
      </c>
    </row>
    <row r="58" spans="1:13" ht="15.2" customHeight="1" x14ac:dyDescent="0.2">
      <c r="A58" s="6" t="s">
        <v>3143</v>
      </c>
      <c r="B58" s="7" t="s">
        <v>3144</v>
      </c>
      <c r="C58" s="8">
        <v>1</v>
      </c>
      <c r="D58" s="9">
        <v>14.5</v>
      </c>
      <c r="E58" s="9">
        <v>14.5</v>
      </c>
      <c r="F58" s="10">
        <v>59</v>
      </c>
      <c r="G58" s="9">
        <v>59</v>
      </c>
      <c r="H58" s="8" t="s">
        <v>2223</v>
      </c>
      <c r="I58" s="7" t="s">
        <v>3396</v>
      </c>
      <c r="J58" s="11" t="s">
        <v>3284</v>
      </c>
      <c r="K58" s="7" t="s">
        <v>3281</v>
      </c>
      <c r="L58" s="7" t="s">
        <v>3282</v>
      </c>
      <c r="M58" s="12" t="str">
        <f>HYPERLINK("http://slimages.macys.com/is/image/MCY/3798070 ")</f>
        <v xml:space="preserve">http://slimages.macys.com/is/image/MCY/3798070 </v>
      </c>
    </row>
    <row r="59" spans="1:13" ht="15.2" customHeight="1" x14ac:dyDescent="0.2">
      <c r="A59" s="6" t="s">
        <v>3145</v>
      </c>
      <c r="B59" s="7" t="s">
        <v>3146</v>
      </c>
      <c r="C59" s="8">
        <v>3</v>
      </c>
      <c r="D59" s="9">
        <v>14.5</v>
      </c>
      <c r="E59" s="9">
        <v>43.5</v>
      </c>
      <c r="F59" s="10">
        <v>45</v>
      </c>
      <c r="G59" s="9">
        <v>135</v>
      </c>
      <c r="H59" s="8" t="s">
        <v>3675</v>
      </c>
      <c r="I59" s="7" t="s">
        <v>3252</v>
      </c>
      <c r="J59" s="11" t="s">
        <v>3236</v>
      </c>
      <c r="K59" s="7" t="s">
        <v>3295</v>
      </c>
      <c r="L59" s="7" t="s">
        <v>3296</v>
      </c>
      <c r="M59" s="12" t="str">
        <f>HYPERLINK("http://slimages.macys.com/is/image/MCY/3801889 ")</f>
        <v xml:space="preserve">http://slimages.macys.com/is/image/MCY/3801889 </v>
      </c>
    </row>
    <row r="60" spans="1:13" ht="15.2" customHeight="1" x14ac:dyDescent="0.2">
      <c r="A60" s="6" t="s">
        <v>3147</v>
      </c>
      <c r="B60" s="7" t="s">
        <v>3148</v>
      </c>
      <c r="C60" s="8">
        <v>1</v>
      </c>
      <c r="D60" s="9">
        <v>14.5</v>
      </c>
      <c r="E60" s="9">
        <v>14.5</v>
      </c>
      <c r="F60" s="10">
        <v>39</v>
      </c>
      <c r="G60" s="9">
        <v>39</v>
      </c>
      <c r="H60" s="8" t="s">
        <v>3149</v>
      </c>
      <c r="I60" s="7" t="s">
        <v>3381</v>
      </c>
      <c r="J60" s="11" t="s">
        <v>3231</v>
      </c>
      <c r="K60" s="7" t="s">
        <v>3295</v>
      </c>
      <c r="L60" s="7" t="s">
        <v>3296</v>
      </c>
      <c r="M60" s="12" t="str">
        <f>HYPERLINK("http://slimages.macys.com/is/image/MCY/3801871 ")</f>
        <v xml:space="preserve">http://slimages.macys.com/is/image/MCY/3801871 </v>
      </c>
    </row>
    <row r="61" spans="1:13" ht="15.2" customHeight="1" x14ac:dyDescent="0.2">
      <c r="A61" s="6" t="s">
        <v>3303</v>
      </c>
      <c r="B61" s="7" t="s">
        <v>3304</v>
      </c>
      <c r="C61" s="8">
        <v>2</v>
      </c>
      <c r="D61" s="9">
        <v>14.5</v>
      </c>
      <c r="E61" s="9">
        <v>29</v>
      </c>
      <c r="F61" s="10">
        <v>39.5</v>
      </c>
      <c r="G61" s="9">
        <v>79</v>
      </c>
      <c r="H61" s="8" t="s">
        <v>3305</v>
      </c>
      <c r="I61" s="7" t="s">
        <v>3185</v>
      </c>
      <c r="J61" s="11" t="s">
        <v>3186</v>
      </c>
      <c r="K61" s="7" t="s">
        <v>3232</v>
      </c>
      <c r="L61" s="7" t="s">
        <v>3306</v>
      </c>
      <c r="M61" s="12" t="str">
        <f>HYPERLINK("http://slimages.macys.com/is/image/MCY/3954949 ")</f>
        <v xml:space="preserve">http://slimages.macys.com/is/image/MCY/3954949 </v>
      </c>
    </row>
    <row r="62" spans="1:13" ht="15.2" customHeight="1" x14ac:dyDescent="0.2">
      <c r="A62" s="6" t="s">
        <v>3676</v>
      </c>
      <c r="B62" s="7" t="s">
        <v>3677</v>
      </c>
      <c r="C62" s="8">
        <v>2</v>
      </c>
      <c r="D62" s="9">
        <v>14.5</v>
      </c>
      <c r="E62" s="9">
        <v>29</v>
      </c>
      <c r="F62" s="10">
        <v>39.5</v>
      </c>
      <c r="G62" s="9">
        <v>79</v>
      </c>
      <c r="H62" s="8" t="s">
        <v>3307</v>
      </c>
      <c r="I62" s="7" t="s">
        <v>3185</v>
      </c>
      <c r="J62" s="11" t="s">
        <v>3202</v>
      </c>
      <c r="K62" s="7" t="s">
        <v>3232</v>
      </c>
      <c r="L62" s="7" t="s">
        <v>3308</v>
      </c>
      <c r="M62" s="12" t="str">
        <f>HYPERLINK("http://slimages.macys.com/is/image/MCY/3954889 ")</f>
        <v xml:space="preserve">http://slimages.macys.com/is/image/MCY/3954889 </v>
      </c>
    </row>
    <row r="63" spans="1:13" ht="15.2" customHeight="1" x14ac:dyDescent="0.2">
      <c r="A63" s="6" t="s">
        <v>4245</v>
      </c>
      <c r="B63" s="7" t="s">
        <v>4246</v>
      </c>
      <c r="C63" s="8">
        <v>3</v>
      </c>
      <c r="D63" s="9">
        <v>14.5</v>
      </c>
      <c r="E63" s="9">
        <v>43.5</v>
      </c>
      <c r="F63" s="10">
        <v>45</v>
      </c>
      <c r="G63" s="9">
        <v>135</v>
      </c>
      <c r="H63" s="8" t="s">
        <v>4067</v>
      </c>
      <c r="I63" s="7" t="s">
        <v>3207</v>
      </c>
      <c r="J63" s="11" t="s">
        <v>3186</v>
      </c>
      <c r="K63" s="7" t="s">
        <v>3295</v>
      </c>
      <c r="L63" s="7" t="s">
        <v>3296</v>
      </c>
      <c r="M63" s="12" t="str">
        <f>HYPERLINK("http://slimages.macys.com/is/image/MCY/3841161 ")</f>
        <v xml:space="preserve">http://slimages.macys.com/is/image/MCY/3841161 </v>
      </c>
    </row>
    <row r="64" spans="1:13" ht="15.2" customHeight="1" x14ac:dyDescent="0.2">
      <c r="A64" s="6" t="s">
        <v>3150</v>
      </c>
      <c r="B64" s="7" t="s">
        <v>3151</v>
      </c>
      <c r="C64" s="8">
        <v>1</v>
      </c>
      <c r="D64" s="9">
        <v>14.5</v>
      </c>
      <c r="E64" s="9">
        <v>14.5</v>
      </c>
      <c r="F64" s="10">
        <v>39.5</v>
      </c>
      <c r="G64" s="9">
        <v>39.5</v>
      </c>
      <c r="H64" s="8" t="s">
        <v>3305</v>
      </c>
      <c r="I64" s="7" t="s">
        <v>3185</v>
      </c>
      <c r="J64" s="11" t="s">
        <v>3231</v>
      </c>
      <c r="K64" s="7" t="s">
        <v>3232</v>
      </c>
      <c r="L64" s="7" t="s">
        <v>3306</v>
      </c>
      <c r="M64" s="12" t="str">
        <f>HYPERLINK("http://slimages.macys.com/is/image/MCY/3954949 ")</f>
        <v xml:space="preserve">http://slimages.macys.com/is/image/MCY/3954949 </v>
      </c>
    </row>
    <row r="65" spans="1:13" ht="15.2" customHeight="1" x14ac:dyDescent="0.2">
      <c r="A65" s="6" t="s">
        <v>3861</v>
      </c>
      <c r="B65" s="7" t="s">
        <v>3862</v>
      </c>
      <c r="C65" s="8">
        <v>1</v>
      </c>
      <c r="D65" s="9">
        <v>14.5</v>
      </c>
      <c r="E65" s="9">
        <v>14.5</v>
      </c>
      <c r="F65" s="10">
        <v>39.5</v>
      </c>
      <c r="G65" s="9">
        <v>39.5</v>
      </c>
      <c r="H65" s="8" t="s">
        <v>3305</v>
      </c>
      <c r="I65" s="7" t="s">
        <v>3185</v>
      </c>
      <c r="J65" s="11" t="s">
        <v>3202</v>
      </c>
      <c r="K65" s="7" t="s">
        <v>3232</v>
      </c>
      <c r="L65" s="7" t="s">
        <v>3306</v>
      </c>
      <c r="M65" s="12" t="str">
        <f>HYPERLINK("http://slimages.macys.com/is/image/MCY/3954949 ")</f>
        <v xml:space="preserve">http://slimages.macys.com/is/image/MCY/3954949 </v>
      </c>
    </row>
    <row r="66" spans="1:13" ht="15.2" customHeight="1" x14ac:dyDescent="0.2">
      <c r="A66" s="6" t="s">
        <v>4247</v>
      </c>
      <c r="B66" s="7" t="s">
        <v>4248</v>
      </c>
      <c r="C66" s="8">
        <v>2</v>
      </c>
      <c r="D66" s="9">
        <v>14.5</v>
      </c>
      <c r="E66" s="9">
        <v>29</v>
      </c>
      <c r="F66" s="10">
        <v>45</v>
      </c>
      <c r="G66" s="9">
        <v>90</v>
      </c>
      <c r="H66" s="8" t="s">
        <v>4067</v>
      </c>
      <c r="I66" s="7" t="s">
        <v>3207</v>
      </c>
      <c r="J66" s="11" t="s">
        <v>3231</v>
      </c>
      <c r="K66" s="7" t="s">
        <v>3295</v>
      </c>
      <c r="L66" s="7" t="s">
        <v>3296</v>
      </c>
      <c r="M66" s="12" t="str">
        <f>HYPERLINK("http://slimages.macys.com/is/image/MCY/3841161 ")</f>
        <v xml:space="preserve">http://slimages.macys.com/is/image/MCY/3841161 </v>
      </c>
    </row>
    <row r="67" spans="1:13" ht="15.2" customHeight="1" x14ac:dyDescent="0.2">
      <c r="A67" s="6" t="s">
        <v>3152</v>
      </c>
      <c r="B67" s="7" t="s">
        <v>3153</v>
      </c>
      <c r="C67" s="8">
        <v>1</v>
      </c>
      <c r="D67" s="9">
        <v>14.5</v>
      </c>
      <c r="E67" s="9">
        <v>14.5</v>
      </c>
      <c r="F67" s="10">
        <v>39.5</v>
      </c>
      <c r="G67" s="9">
        <v>39.5</v>
      </c>
      <c r="H67" s="8" t="s">
        <v>2224</v>
      </c>
      <c r="I67" s="7" t="s">
        <v>3185</v>
      </c>
      <c r="J67" s="11" t="s">
        <v>3231</v>
      </c>
      <c r="K67" s="7" t="s">
        <v>3232</v>
      </c>
      <c r="L67" s="7" t="s">
        <v>3306</v>
      </c>
      <c r="M67" s="12" t="str">
        <f>HYPERLINK("http://slimages.macys.com/is/image/MCY/3883116 ")</f>
        <v xml:space="preserve">http://slimages.macys.com/is/image/MCY/3883116 </v>
      </c>
    </row>
    <row r="68" spans="1:13" ht="15.2" customHeight="1" x14ac:dyDescent="0.2">
      <c r="A68" s="6" t="s">
        <v>3154</v>
      </c>
      <c r="B68" s="7" t="s">
        <v>3155</v>
      </c>
      <c r="C68" s="8">
        <v>1</v>
      </c>
      <c r="D68" s="9">
        <v>14.5</v>
      </c>
      <c r="E68" s="9">
        <v>14.5</v>
      </c>
      <c r="F68" s="10">
        <v>39.5</v>
      </c>
      <c r="G68" s="9">
        <v>39.5</v>
      </c>
      <c r="H68" s="8" t="s">
        <v>3305</v>
      </c>
      <c r="I68" s="7" t="s">
        <v>3185</v>
      </c>
      <c r="J68" s="11" t="s">
        <v>3236</v>
      </c>
      <c r="K68" s="7" t="s">
        <v>3232</v>
      </c>
      <c r="L68" s="7" t="s">
        <v>3306</v>
      </c>
      <c r="M68" s="12" t="str">
        <f>HYPERLINK("http://slimages.macys.com/is/image/MCY/3954949 ")</f>
        <v xml:space="preserve">http://slimages.macys.com/is/image/MCY/3954949 </v>
      </c>
    </row>
    <row r="69" spans="1:13" ht="15.2" customHeight="1" x14ac:dyDescent="0.2">
      <c r="A69" s="6" t="s">
        <v>3863</v>
      </c>
      <c r="B69" s="7" t="s">
        <v>3864</v>
      </c>
      <c r="C69" s="8">
        <v>1</v>
      </c>
      <c r="D69" s="9">
        <v>14.49</v>
      </c>
      <c r="E69" s="9">
        <v>14.49</v>
      </c>
      <c r="F69" s="10">
        <v>39.5</v>
      </c>
      <c r="G69" s="9">
        <v>39.5</v>
      </c>
      <c r="H69" s="8" t="s">
        <v>3309</v>
      </c>
      <c r="I69" s="7" t="s">
        <v>3235</v>
      </c>
      <c r="J69" s="11" t="s">
        <v>3186</v>
      </c>
      <c r="K69" s="7" t="s">
        <v>3232</v>
      </c>
      <c r="L69" s="7" t="s">
        <v>3233</v>
      </c>
      <c r="M69" s="12" t="str">
        <f>HYPERLINK("http://slimages.macys.com/is/image/MCY/3369009 ")</f>
        <v xml:space="preserve">http://slimages.macys.com/is/image/MCY/3369009 </v>
      </c>
    </row>
    <row r="70" spans="1:13" ht="15.2" customHeight="1" x14ac:dyDescent="0.2">
      <c r="A70" s="6" t="s">
        <v>3311</v>
      </c>
      <c r="B70" s="7" t="s">
        <v>3312</v>
      </c>
      <c r="C70" s="8">
        <v>1</v>
      </c>
      <c r="D70" s="9">
        <v>14.49</v>
      </c>
      <c r="E70" s="9">
        <v>14.49</v>
      </c>
      <c r="F70" s="10">
        <v>39.5</v>
      </c>
      <c r="G70" s="9">
        <v>39.5</v>
      </c>
      <c r="H70" s="8" t="s">
        <v>3309</v>
      </c>
      <c r="I70" s="7" t="s">
        <v>3235</v>
      </c>
      <c r="J70" s="11" t="s">
        <v>3236</v>
      </c>
      <c r="K70" s="7" t="s">
        <v>3232</v>
      </c>
      <c r="L70" s="7" t="s">
        <v>3233</v>
      </c>
      <c r="M70" s="12" t="str">
        <f>HYPERLINK("http://slimages.macys.com/is/image/MCY/3369009 ")</f>
        <v xml:space="preserve">http://slimages.macys.com/is/image/MCY/3369009 </v>
      </c>
    </row>
    <row r="71" spans="1:13" ht="15.2" customHeight="1" x14ac:dyDescent="0.2">
      <c r="A71" s="6" t="s">
        <v>3316</v>
      </c>
      <c r="B71" s="7" t="s">
        <v>3317</v>
      </c>
      <c r="C71" s="8">
        <v>1</v>
      </c>
      <c r="D71" s="9">
        <v>14.49</v>
      </c>
      <c r="E71" s="9">
        <v>14.49</v>
      </c>
      <c r="F71" s="10">
        <v>39.5</v>
      </c>
      <c r="G71" s="9">
        <v>39.5</v>
      </c>
      <c r="H71" s="8" t="s">
        <v>3309</v>
      </c>
      <c r="I71" s="7" t="s">
        <v>3235</v>
      </c>
      <c r="J71" s="11" t="s">
        <v>3231</v>
      </c>
      <c r="K71" s="7" t="s">
        <v>3232</v>
      </c>
      <c r="L71" s="7" t="s">
        <v>3233</v>
      </c>
      <c r="M71" s="12" t="str">
        <f>HYPERLINK("http://slimages.macys.com/is/image/MCY/3369009 ")</f>
        <v xml:space="preserve">http://slimages.macys.com/is/image/MCY/3369009 </v>
      </c>
    </row>
    <row r="72" spans="1:13" ht="15.2" customHeight="1" x14ac:dyDescent="0.2">
      <c r="A72" s="6" t="s">
        <v>3156</v>
      </c>
      <c r="B72" s="7" t="s">
        <v>3157</v>
      </c>
      <c r="C72" s="8">
        <v>1</v>
      </c>
      <c r="D72" s="9">
        <v>14</v>
      </c>
      <c r="E72" s="9">
        <v>14</v>
      </c>
      <c r="F72" s="10">
        <v>69</v>
      </c>
      <c r="G72" s="9">
        <v>69</v>
      </c>
      <c r="H72" s="8" t="s">
        <v>3158</v>
      </c>
      <c r="I72" s="7" t="s">
        <v>3185</v>
      </c>
      <c r="J72" s="11" t="s">
        <v>3310</v>
      </c>
      <c r="K72" s="7" t="s">
        <v>3281</v>
      </c>
      <c r="L72" s="7" t="s">
        <v>3521</v>
      </c>
      <c r="M72" s="12" t="str">
        <f>HYPERLINK("http://slimages.macys.com/is/image/MCY/3561790 ")</f>
        <v xml:space="preserve">http://slimages.macys.com/is/image/MCY/3561790 </v>
      </c>
    </row>
    <row r="73" spans="1:13" ht="15.2" customHeight="1" x14ac:dyDescent="0.2">
      <c r="A73" s="6" t="s">
        <v>3159</v>
      </c>
      <c r="B73" s="7" t="s">
        <v>3160</v>
      </c>
      <c r="C73" s="8">
        <v>1</v>
      </c>
      <c r="D73" s="9">
        <v>13.5</v>
      </c>
      <c r="E73" s="9">
        <v>13.5</v>
      </c>
      <c r="F73" s="10">
        <v>59</v>
      </c>
      <c r="G73" s="9">
        <v>59</v>
      </c>
      <c r="H73" s="8" t="s">
        <v>3161</v>
      </c>
      <c r="I73" s="7" t="s">
        <v>3185</v>
      </c>
      <c r="J73" s="11" t="s">
        <v>3242</v>
      </c>
      <c r="K73" s="7" t="s">
        <v>3281</v>
      </c>
      <c r="L73" s="7" t="s">
        <v>3322</v>
      </c>
      <c r="M73" s="12" t="str">
        <f>HYPERLINK("http://slimages.macys.com/is/image/MCY/3456548 ")</f>
        <v xml:space="preserve">http://slimages.macys.com/is/image/MCY/3456548 </v>
      </c>
    </row>
    <row r="74" spans="1:13" ht="15.2" customHeight="1" x14ac:dyDescent="0.2">
      <c r="A74" s="6" t="s">
        <v>3162</v>
      </c>
      <c r="B74" s="7" t="s">
        <v>3163</v>
      </c>
      <c r="C74" s="8">
        <v>1</v>
      </c>
      <c r="D74" s="9">
        <v>13.5</v>
      </c>
      <c r="E74" s="9">
        <v>13.5</v>
      </c>
      <c r="F74" s="10">
        <v>29.99</v>
      </c>
      <c r="G74" s="9">
        <v>29.99</v>
      </c>
      <c r="H74" s="8" t="s">
        <v>3678</v>
      </c>
      <c r="I74" s="7" t="s">
        <v>3333</v>
      </c>
      <c r="J74" s="11" t="s">
        <v>3331</v>
      </c>
      <c r="K74" s="7" t="s">
        <v>3326</v>
      </c>
      <c r="L74" s="7" t="s">
        <v>3282</v>
      </c>
      <c r="M74" s="12" t="str">
        <f>HYPERLINK("http://slimages.macys.com/is/image/MCY/3866347 ")</f>
        <v xml:space="preserve">http://slimages.macys.com/is/image/MCY/3866347 </v>
      </c>
    </row>
    <row r="75" spans="1:13" ht="15.2" customHeight="1" x14ac:dyDescent="0.2">
      <c r="A75" s="6" t="s">
        <v>4070</v>
      </c>
      <c r="B75" s="7" t="s">
        <v>4071</v>
      </c>
      <c r="C75" s="8">
        <v>1</v>
      </c>
      <c r="D75" s="9">
        <v>13.5</v>
      </c>
      <c r="E75" s="9">
        <v>13.5</v>
      </c>
      <c r="F75" s="10">
        <v>39</v>
      </c>
      <c r="G75" s="9">
        <v>39</v>
      </c>
      <c r="H75" s="8" t="s">
        <v>4072</v>
      </c>
      <c r="I75" s="7"/>
      <c r="J75" s="11" t="s">
        <v>3186</v>
      </c>
      <c r="K75" s="7" t="s">
        <v>3295</v>
      </c>
      <c r="L75" s="7" t="s">
        <v>3296</v>
      </c>
      <c r="M75" s="12" t="str">
        <f>HYPERLINK("http://slimages.macys.com/is/image/MCY/3748064 ")</f>
        <v xml:space="preserve">http://slimages.macys.com/is/image/MCY/3748064 </v>
      </c>
    </row>
    <row r="76" spans="1:13" ht="15.2" customHeight="1" x14ac:dyDescent="0.2">
      <c r="A76" s="6" t="s">
        <v>2616</v>
      </c>
      <c r="B76" s="7" t="s">
        <v>2617</v>
      </c>
      <c r="C76" s="8">
        <v>1</v>
      </c>
      <c r="D76" s="9">
        <v>13.5</v>
      </c>
      <c r="E76" s="9">
        <v>13.5</v>
      </c>
      <c r="F76" s="10">
        <v>29.99</v>
      </c>
      <c r="G76" s="9">
        <v>29.99</v>
      </c>
      <c r="H76" s="8" t="s">
        <v>3678</v>
      </c>
      <c r="I76" s="7" t="s">
        <v>3333</v>
      </c>
      <c r="J76" s="11" t="s">
        <v>3338</v>
      </c>
      <c r="K76" s="7" t="s">
        <v>3326</v>
      </c>
      <c r="L76" s="7" t="s">
        <v>3282</v>
      </c>
      <c r="M76" s="12" t="str">
        <f>HYPERLINK("http://slimages.macys.com/is/image/MCY/3866347 ")</f>
        <v xml:space="preserve">http://slimages.macys.com/is/image/MCY/3866347 </v>
      </c>
    </row>
    <row r="77" spans="1:13" ht="15.2" customHeight="1" x14ac:dyDescent="0.2">
      <c r="A77" s="6" t="s">
        <v>3164</v>
      </c>
      <c r="B77" s="7" t="s">
        <v>3165</v>
      </c>
      <c r="C77" s="8">
        <v>1</v>
      </c>
      <c r="D77" s="9">
        <v>13.5</v>
      </c>
      <c r="E77" s="9">
        <v>13.5</v>
      </c>
      <c r="F77" s="10">
        <v>49</v>
      </c>
      <c r="G77" s="9">
        <v>49</v>
      </c>
      <c r="H77" s="8" t="s">
        <v>3166</v>
      </c>
      <c r="I77" s="7" t="s">
        <v>3286</v>
      </c>
      <c r="J77" s="11" t="s">
        <v>3229</v>
      </c>
      <c r="K77" s="7" t="s">
        <v>3281</v>
      </c>
      <c r="L77" s="7" t="s">
        <v>3292</v>
      </c>
      <c r="M77" s="12" t="str">
        <f>HYPERLINK("http://slimages.macys.com/is/image/MCY/3736761 ")</f>
        <v xml:space="preserve">http://slimages.macys.com/is/image/MCY/3736761 </v>
      </c>
    </row>
    <row r="78" spans="1:13" ht="15.2" customHeight="1" x14ac:dyDescent="0.2">
      <c r="A78" s="6" t="s">
        <v>3167</v>
      </c>
      <c r="B78" s="7" t="s">
        <v>3168</v>
      </c>
      <c r="C78" s="8">
        <v>2</v>
      </c>
      <c r="D78" s="9">
        <v>13.23</v>
      </c>
      <c r="E78" s="9">
        <v>26.46</v>
      </c>
      <c r="F78" s="10">
        <v>39.5</v>
      </c>
      <c r="G78" s="9">
        <v>79</v>
      </c>
      <c r="H78" s="8" t="s">
        <v>3325</v>
      </c>
      <c r="I78" s="7" t="s">
        <v>3185</v>
      </c>
      <c r="J78" s="11" t="s">
        <v>3231</v>
      </c>
      <c r="K78" s="7" t="s">
        <v>3232</v>
      </c>
      <c r="L78" s="7" t="s">
        <v>3306</v>
      </c>
      <c r="M78" s="12" t="str">
        <f>HYPERLINK("http://slimages.macys.com/is/image/MCY/3808484 ")</f>
        <v xml:space="preserve">http://slimages.macys.com/is/image/MCY/3808484 </v>
      </c>
    </row>
    <row r="79" spans="1:13" ht="15.2" customHeight="1" x14ac:dyDescent="0.2">
      <c r="A79" s="6" t="s">
        <v>3169</v>
      </c>
      <c r="B79" s="7" t="s">
        <v>3170</v>
      </c>
      <c r="C79" s="8">
        <v>1</v>
      </c>
      <c r="D79" s="9">
        <v>13.23</v>
      </c>
      <c r="E79" s="9">
        <v>13.23</v>
      </c>
      <c r="F79" s="10">
        <v>39.5</v>
      </c>
      <c r="G79" s="9">
        <v>39.5</v>
      </c>
      <c r="H79" s="8" t="s">
        <v>3325</v>
      </c>
      <c r="I79" s="7" t="s">
        <v>3207</v>
      </c>
      <c r="J79" s="11" t="s">
        <v>3220</v>
      </c>
      <c r="K79" s="7" t="s">
        <v>3232</v>
      </c>
      <c r="L79" s="7" t="s">
        <v>3306</v>
      </c>
      <c r="M79" s="12" t="str">
        <f>HYPERLINK("http://slimages.macys.com/is/image/MCY/3808484 ")</f>
        <v xml:space="preserve">http://slimages.macys.com/is/image/MCY/3808484 </v>
      </c>
    </row>
    <row r="80" spans="1:13" ht="15.2" customHeight="1" x14ac:dyDescent="0.2">
      <c r="A80" s="6" t="s">
        <v>4249</v>
      </c>
      <c r="B80" s="7" t="s">
        <v>4250</v>
      </c>
      <c r="C80" s="8">
        <v>2</v>
      </c>
      <c r="D80" s="9">
        <v>13.23</v>
      </c>
      <c r="E80" s="9">
        <v>26.46</v>
      </c>
      <c r="F80" s="10">
        <v>39.5</v>
      </c>
      <c r="G80" s="9">
        <v>79</v>
      </c>
      <c r="H80" s="8" t="s">
        <v>3325</v>
      </c>
      <c r="I80" s="7" t="s">
        <v>3185</v>
      </c>
      <c r="J80" s="11" t="s">
        <v>3186</v>
      </c>
      <c r="K80" s="7" t="s">
        <v>3232</v>
      </c>
      <c r="L80" s="7" t="s">
        <v>3306</v>
      </c>
      <c r="M80" s="12" t="str">
        <f>HYPERLINK("http://slimages.macys.com/is/image/MCY/3808484 ")</f>
        <v xml:space="preserve">http://slimages.macys.com/is/image/MCY/3808484 </v>
      </c>
    </row>
    <row r="81" spans="1:13" ht="15.2" customHeight="1" x14ac:dyDescent="0.2">
      <c r="A81" s="6" t="s">
        <v>4251</v>
      </c>
      <c r="B81" s="7" t="s">
        <v>4252</v>
      </c>
      <c r="C81" s="8">
        <v>1</v>
      </c>
      <c r="D81" s="9">
        <v>13</v>
      </c>
      <c r="E81" s="9">
        <v>13</v>
      </c>
      <c r="F81" s="10">
        <v>29.99</v>
      </c>
      <c r="G81" s="9">
        <v>29.99</v>
      </c>
      <c r="H81" s="8" t="s">
        <v>3872</v>
      </c>
      <c r="I81" s="7" t="s">
        <v>3185</v>
      </c>
      <c r="J81" s="11" t="s">
        <v>3336</v>
      </c>
      <c r="K81" s="7" t="s">
        <v>3326</v>
      </c>
      <c r="L81" s="7" t="s">
        <v>3282</v>
      </c>
      <c r="M81" s="12" t="str">
        <f>HYPERLINK("http://slimages.macys.com/is/image/MCY/3874256 ")</f>
        <v xml:space="preserve">http://slimages.macys.com/is/image/MCY/3874256 </v>
      </c>
    </row>
    <row r="82" spans="1:13" ht="15.2" customHeight="1" x14ac:dyDescent="0.2">
      <c r="A82" s="6" t="s">
        <v>3171</v>
      </c>
      <c r="B82" s="7" t="s">
        <v>3172</v>
      </c>
      <c r="C82" s="8">
        <v>1</v>
      </c>
      <c r="D82" s="9">
        <v>13</v>
      </c>
      <c r="E82" s="9">
        <v>13</v>
      </c>
      <c r="F82" s="10">
        <v>29.99</v>
      </c>
      <c r="G82" s="9">
        <v>29.99</v>
      </c>
      <c r="H82" s="8" t="s">
        <v>3873</v>
      </c>
      <c r="I82" s="7" t="s">
        <v>3185</v>
      </c>
      <c r="J82" s="11" t="s">
        <v>3240</v>
      </c>
      <c r="K82" s="7" t="s">
        <v>3326</v>
      </c>
      <c r="L82" s="7" t="s">
        <v>3282</v>
      </c>
      <c r="M82" s="12" t="str">
        <f>HYPERLINK("http://slimages.macys.com/is/image/MCY/3874062 ")</f>
        <v xml:space="preserve">http://slimages.macys.com/is/image/MCY/3874062 </v>
      </c>
    </row>
    <row r="83" spans="1:13" ht="15.2" customHeight="1" x14ac:dyDescent="0.2">
      <c r="A83" s="6" t="s">
        <v>3173</v>
      </c>
      <c r="B83" s="7" t="s">
        <v>3174</v>
      </c>
      <c r="C83" s="8">
        <v>1</v>
      </c>
      <c r="D83" s="9">
        <v>13</v>
      </c>
      <c r="E83" s="9">
        <v>13</v>
      </c>
      <c r="F83" s="10">
        <v>59</v>
      </c>
      <c r="G83" s="9">
        <v>59</v>
      </c>
      <c r="H83" s="8" t="s">
        <v>3680</v>
      </c>
      <c r="I83" s="7" t="s">
        <v>3207</v>
      </c>
      <c r="J83" s="11" t="s">
        <v>3310</v>
      </c>
      <c r="K83" s="7" t="s">
        <v>3281</v>
      </c>
      <c r="L83" s="7" t="s">
        <v>3322</v>
      </c>
      <c r="M83" s="12" t="str">
        <f>HYPERLINK("http://slimages.macys.com/is/image/MCY/2078966 ")</f>
        <v xml:space="preserve">http://slimages.macys.com/is/image/MCY/2078966 </v>
      </c>
    </row>
    <row r="84" spans="1:13" ht="15.2" customHeight="1" x14ac:dyDescent="0.2">
      <c r="A84" s="6" t="s">
        <v>4073</v>
      </c>
      <c r="B84" s="7" t="s">
        <v>4074</v>
      </c>
      <c r="C84" s="8">
        <v>2</v>
      </c>
      <c r="D84" s="9">
        <v>12.77</v>
      </c>
      <c r="E84" s="9">
        <v>25.54</v>
      </c>
      <c r="F84" s="10">
        <v>34.99</v>
      </c>
      <c r="G84" s="9">
        <v>69.98</v>
      </c>
      <c r="H84" s="8" t="s">
        <v>3690</v>
      </c>
      <c r="I84" s="7" t="s">
        <v>3214</v>
      </c>
      <c r="J84" s="11" t="s">
        <v>3186</v>
      </c>
      <c r="K84" s="7" t="s">
        <v>3221</v>
      </c>
      <c r="L84" s="7" t="s">
        <v>3254</v>
      </c>
      <c r="M84" s="12" t="str">
        <f>HYPERLINK("http://slimages.macys.com/is/image/MCY/3913270 ")</f>
        <v xml:space="preserve">http://slimages.macys.com/is/image/MCY/3913270 </v>
      </c>
    </row>
    <row r="85" spans="1:13" ht="15.2" customHeight="1" x14ac:dyDescent="0.2">
      <c r="A85" s="6" t="s">
        <v>3874</v>
      </c>
      <c r="B85" s="7" t="s">
        <v>3875</v>
      </c>
      <c r="C85" s="8">
        <v>1</v>
      </c>
      <c r="D85" s="9">
        <v>12.77</v>
      </c>
      <c r="E85" s="9">
        <v>12.77</v>
      </c>
      <c r="F85" s="10">
        <v>34.99</v>
      </c>
      <c r="G85" s="9">
        <v>34.99</v>
      </c>
      <c r="H85" s="8" t="s">
        <v>3690</v>
      </c>
      <c r="I85" s="7" t="s">
        <v>3203</v>
      </c>
      <c r="J85" s="11" t="s">
        <v>3186</v>
      </c>
      <c r="K85" s="7" t="s">
        <v>3221</v>
      </c>
      <c r="L85" s="7" t="s">
        <v>3254</v>
      </c>
      <c r="M85" s="12" t="str">
        <f>HYPERLINK("http://slimages.macys.com/is/image/MCY/3913270 ")</f>
        <v xml:space="preserve">http://slimages.macys.com/is/image/MCY/3913270 </v>
      </c>
    </row>
    <row r="86" spans="1:13" ht="15.2" customHeight="1" x14ac:dyDescent="0.2">
      <c r="A86" s="6" t="s">
        <v>3175</v>
      </c>
      <c r="B86" s="7" t="s">
        <v>3176</v>
      </c>
      <c r="C86" s="8">
        <v>1</v>
      </c>
      <c r="D86" s="9">
        <v>12.75</v>
      </c>
      <c r="E86" s="9">
        <v>12.75</v>
      </c>
      <c r="F86" s="10">
        <v>49</v>
      </c>
      <c r="G86" s="9">
        <v>49</v>
      </c>
      <c r="H86" s="8" t="s">
        <v>3330</v>
      </c>
      <c r="I86" s="7" t="s">
        <v>3234</v>
      </c>
      <c r="J86" s="11" t="s">
        <v>3213</v>
      </c>
      <c r="K86" s="7" t="s">
        <v>3281</v>
      </c>
      <c r="L86" s="7" t="s">
        <v>3292</v>
      </c>
      <c r="M86" s="12" t="str">
        <f>HYPERLINK("http://slimages.macys.com/is/image/MCY/3542069 ")</f>
        <v xml:space="preserve">http://slimages.macys.com/is/image/MCY/3542069 </v>
      </c>
    </row>
    <row r="87" spans="1:13" ht="15.2" customHeight="1" x14ac:dyDescent="0.2">
      <c r="A87" s="6" t="s">
        <v>3328</v>
      </c>
      <c r="B87" s="7" t="s">
        <v>3329</v>
      </c>
      <c r="C87" s="8">
        <v>2</v>
      </c>
      <c r="D87" s="9">
        <v>12.75</v>
      </c>
      <c r="E87" s="9">
        <v>25.5</v>
      </c>
      <c r="F87" s="10">
        <v>49</v>
      </c>
      <c r="G87" s="9">
        <v>98</v>
      </c>
      <c r="H87" s="8" t="s">
        <v>3330</v>
      </c>
      <c r="I87" s="7" t="s">
        <v>3234</v>
      </c>
      <c r="J87" s="11" t="s">
        <v>3229</v>
      </c>
      <c r="K87" s="7" t="s">
        <v>3281</v>
      </c>
      <c r="L87" s="7" t="s">
        <v>3292</v>
      </c>
      <c r="M87" s="12" t="str">
        <f>HYPERLINK("http://slimages.macys.com/is/image/MCY/3542069 ")</f>
        <v xml:space="preserve">http://slimages.macys.com/is/image/MCY/3542069 </v>
      </c>
    </row>
    <row r="88" spans="1:13" ht="15.2" customHeight="1" x14ac:dyDescent="0.2">
      <c r="A88" s="6" t="s">
        <v>3177</v>
      </c>
      <c r="B88" s="7" t="s">
        <v>3178</v>
      </c>
      <c r="C88" s="8">
        <v>1</v>
      </c>
      <c r="D88" s="9">
        <v>12.5</v>
      </c>
      <c r="E88" s="9">
        <v>12.5</v>
      </c>
      <c r="F88" s="10">
        <v>39</v>
      </c>
      <c r="G88" s="9">
        <v>39</v>
      </c>
      <c r="H88" s="8" t="s">
        <v>3179</v>
      </c>
      <c r="I88" s="7" t="s">
        <v>3252</v>
      </c>
      <c r="J88" s="11" t="s">
        <v>3202</v>
      </c>
      <c r="K88" s="7" t="s">
        <v>3295</v>
      </c>
      <c r="L88" s="7" t="s">
        <v>3296</v>
      </c>
      <c r="M88" s="12" t="str">
        <f>HYPERLINK("http://slimages.macys.com/is/image/MCY/3748152 ")</f>
        <v xml:space="preserve">http://slimages.macys.com/is/image/MCY/3748152 </v>
      </c>
    </row>
    <row r="89" spans="1:13" ht="15.2" customHeight="1" x14ac:dyDescent="0.2">
      <c r="A89" s="6" t="s">
        <v>2630</v>
      </c>
      <c r="B89" s="7" t="s">
        <v>2631</v>
      </c>
      <c r="C89" s="8">
        <v>1</v>
      </c>
      <c r="D89" s="9">
        <v>12.5</v>
      </c>
      <c r="E89" s="9">
        <v>12.5</v>
      </c>
      <c r="F89" s="10">
        <v>29.99</v>
      </c>
      <c r="G89" s="9">
        <v>29.99</v>
      </c>
      <c r="H89" s="8" t="s">
        <v>4262</v>
      </c>
      <c r="I89" s="7" t="s">
        <v>3333</v>
      </c>
      <c r="J89" s="11" t="s">
        <v>3240</v>
      </c>
      <c r="K89" s="7" t="s">
        <v>3326</v>
      </c>
      <c r="L89" s="7" t="s">
        <v>3282</v>
      </c>
      <c r="M89" s="12" t="str">
        <f>HYPERLINK("http://slimages.macys.com/is/image/MCY/3874242 ")</f>
        <v xml:space="preserve">http://slimages.macys.com/is/image/MCY/3874242 </v>
      </c>
    </row>
    <row r="90" spans="1:13" ht="15.2" customHeight="1" x14ac:dyDescent="0.2">
      <c r="A90" s="6" t="s">
        <v>3180</v>
      </c>
      <c r="B90" s="7" t="s">
        <v>1199</v>
      </c>
      <c r="C90" s="8">
        <v>1</v>
      </c>
      <c r="D90" s="9">
        <v>12.5</v>
      </c>
      <c r="E90" s="9">
        <v>12.5</v>
      </c>
      <c r="F90" s="10">
        <v>44</v>
      </c>
      <c r="G90" s="9">
        <v>44</v>
      </c>
      <c r="H90" s="8" t="s">
        <v>1200</v>
      </c>
      <c r="I90" s="7" t="s">
        <v>3185</v>
      </c>
      <c r="J90" s="11" t="s">
        <v>3202</v>
      </c>
      <c r="K90" s="7" t="s">
        <v>3222</v>
      </c>
      <c r="L90" s="7" t="s">
        <v>3223</v>
      </c>
      <c r="M90" s="12" t="str">
        <f>HYPERLINK("http://slimages.macys.com/is/image/MCY/3611440 ")</f>
        <v xml:space="preserve">http://slimages.macys.com/is/image/MCY/3611440 </v>
      </c>
    </row>
    <row r="91" spans="1:13" ht="15.2" customHeight="1" x14ac:dyDescent="0.2">
      <c r="A91" s="6" t="s">
        <v>1201</v>
      </c>
      <c r="B91" s="7" t="s">
        <v>1202</v>
      </c>
      <c r="C91" s="8">
        <v>1</v>
      </c>
      <c r="D91" s="9">
        <v>12.5</v>
      </c>
      <c r="E91" s="9">
        <v>12.5</v>
      </c>
      <c r="F91" s="10">
        <v>39</v>
      </c>
      <c r="G91" s="9">
        <v>39</v>
      </c>
      <c r="H91" s="8" t="s">
        <v>1203</v>
      </c>
      <c r="I91" s="7" t="s">
        <v>3185</v>
      </c>
      <c r="J91" s="11" t="s">
        <v>3220</v>
      </c>
      <c r="K91" s="7" t="s">
        <v>3295</v>
      </c>
      <c r="L91" s="7" t="s">
        <v>3296</v>
      </c>
      <c r="M91" s="12" t="str">
        <f>HYPERLINK("http://slimages.macys.com/is/image/MCY/3781238 ")</f>
        <v xml:space="preserve">http://slimages.macys.com/is/image/MCY/3781238 </v>
      </c>
    </row>
    <row r="92" spans="1:13" ht="15.2" customHeight="1" x14ac:dyDescent="0.2">
      <c r="A92" s="6" t="s">
        <v>4267</v>
      </c>
      <c r="B92" s="7" t="s">
        <v>4268</v>
      </c>
      <c r="C92" s="8">
        <v>1</v>
      </c>
      <c r="D92" s="9">
        <v>12.5</v>
      </c>
      <c r="E92" s="9">
        <v>12.5</v>
      </c>
      <c r="F92" s="10">
        <v>29.99</v>
      </c>
      <c r="G92" s="9">
        <v>29.99</v>
      </c>
      <c r="H92" s="8" t="s">
        <v>3699</v>
      </c>
      <c r="I92" s="7" t="s">
        <v>3185</v>
      </c>
      <c r="J92" s="11" t="s">
        <v>3240</v>
      </c>
      <c r="K92" s="7" t="s">
        <v>3326</v>
      </c>
      <c r="L92" s="7" t="s">
        <v>3282</v>
      </c>
      <c r="M92" s="12" t="str">
        <f>HYPERLINK("http://slimages.macys.com/is/image/MCY/3873065 ")</f>
        <v xml:space="preserve">http://slimages.macys.com/is/image/MCY/3873065 </v>
      </c>
    </row>
    <row r="93" spans="1:13" ht="15.2" customHeight="1" x14ac:dyDescent="0.2">
      <c r="A93" s="6" t="s">
        <v>1204</v>
      </c>
      <c r="B93" s="7" t="s">
        <v>1205</v>
      </c>
      <c r="C93" s="8">
        <v>2</v>
      </c>
      <c r="D93" s="9">
        <v>12</v>
      </c>
      <c r="E93" s="9">
        <v>24</v>
      </c>
      <c r="F93" s="10">
        <v>39</v>
      </c>
      <c r="G93" s="9">
        <v>78</v>
      </c>
      <c r="H93" s="8" t="s">
        <v>3882</v>
      </c>
      <c r="I93" s="7" t="s">
        <v>3252</v>
      </c>
      <c r="J93" s="11" t="s">
        <v>3186</v>
      </c>
      <c r="K93" s="7" t="s">
        <v>3295</v>
      </c>
      <c r="L93" s="7" t="s">
        <v>3296</v>
      </c>
      <c r="M93" s="12" t="str">
        <f>HYPERLINK("http://slimages.macys.com/is/image/MCY/3781182 ")</f>
        <v xml:space="preserve">http://slimages.macys.com/is/image/MCY/3781182 </v>
      </c>
    </row>
    <row r="94" spans="1:13" ht="15.2" customHeight="1" x14ac:dyDescent="0.2">
      <c r="A94" s="6" t="s">
        <v>1206</v>
      </c>
      <c r="B94" s="7" t="s">
        <v>1207</v>
      </c>
      <c r="C94" s="8">
        <v>1</v>
      </c>
      <c r="D94" s="9">
        <v>12</v>
      </c>
      <c r="E94" s="9">
        <v>12</v>
      </c>
      <c r="F94" s="10">
        <v>39</v>
      </c>
      <c r="G94" s="9">
        <v>39</v>
      </c>
      <c r="H94" s="8" t="s">
        <v>1208</v>
      </c>
      <c r="I94" s="7" t="s">
        <v>3252</v>
      </c>
      <c r="J94" s="11" t="s">
        <v>3231</v>
      </c>
      <c r="K94" s="7" t="s">
        <v>3295</v>
      </c>
      <c r="L94" s="7" t="s">
        <v>3296</v>
      </c>
      <c r="M94" s="12" t="str">
        <f>HYPERLINK("http://slimages.macys.com/is/image/MCY/3547021 ")</f>
        <v xml:space="preserve">http://slimages.macys.com/is/image/MCY/3547021 </v>
      </c>
    </row>
    <row r="95" spans="1:13" ht="15.2" customHeight="1" x14ac:dyDescent="0.2">
      <c r="A95" s="6" t="s">
        <v>1209</v>
      </c>
      <c r="B95" s="7" t="s">
        <v>1210</v>
      </c>
      <c r="C95" s="8">
        <v>3</v>
      </c>
      <c r="D95" s="9">
        <v>11.89</v>
      </c>
      <c r="E95" s="9">
        <v>35.67</v>
      </c>
      <c r="F95" s="10">
        <v>27.99</v>
      </c>
      <c r="G95" s="9">
        <v>83.97</v>
      </c>
      <c r="H95" s="8" t="s">
        <v>3704</v>
      </c>
      <c r="I95" s="7" t="s">
        <v>3210</v>
      </c>
      <c r="J95" s="11" t="s">
        <v>3231</v>
      </c>
      <c r="K95" s="7" t="s">
        <v>3343</v>
      </c>
      <c r="L95" s="7" t="s">
        <v>3354</v>
      </c>
      <c r="M95" s="12" t="str">
        <f t="shared" ref="M95:M101" si="1">HYPERLINK("http://slimages.macys.com/is/image/MCY/3910851 ")</f>
        <v xml:space="preserve">http://slimages.macys.com/is/image/MCY/3910851 </v>
      </c>
    </row>
    <row r="96" spans="1:13" ht="15.2" customHeight="1" x14ac:dyDescent="0.2">
      <c r="A96" s="6" t="s">
        <v>3891</v>
      </c>
      <c r="B96" s="7" t="s">
        <v>3892</v>
      </c>
      <c r="C96" s="8">
        <v>1</v>
      </c>
      <c r="D96" s="9">
        <v>11.89</v>
      </c>
      <c r="E96" s="9">
        <v>11.89</v>
      </c>
      <c r="F96" s="10">
        <v>27.99</v>
      </c>
      <c r="G96" s="9">
        <v>27.99</v>
      </c>
      <c r="H96" s="8" t="s">
        <v>3704</v>
      </c>
      <c r="I96" s="7" t="s">
        <v>3355</v>
      </c>
      <c r="J96" s="11" t="s">
        <v>3202</v>
      </c>
      <c r="K96" s="7" t="s">
        <v>3343</v>
      </c>
      <c r="L96" s="7" t="s">
        <v>3354</v>
      </c>
      <c r="M96" s="12" t="str">
        <f t="shared" si="1"/>
        <v xml:space="preserve">http://slimages.macys.com/is/image/MCY/3910851 </v>
      </c>
    </row>
    <row r="97" spans="1:13" ht="15.2" customHeight="1" x14ac:dyDescent="0.2">
      <c r="A97" s="6" t="s">
        <v>3893</v>
      </c>
      <c r="B97" s="7" t="s">
        <v>3894</v>
      </c>
      <c r="C97" s="8">
        <v>1</v>
      </c>
      <c r="D97" s="9">
        <v>11.89</v>
      </c>
      <c r="E97" s="9">
        <v>11.89</v>
      </c>
      <c r="F97" s="10">
        <v>27.99</v>
      </c>
      <c r="G97" s="9">
        <v>27.99</v>
      </c>
      <c r="H97" s="8" t="s">
        <v>3704</v>
      </c>
      <c r="I97" s="7" t="s">
        <v>3386</v>
      </c>
      <c r="J97" s="11" t="s">
        <v>3231</v>
      </c>
      <c r="K97" s="7" t="s">
        <v>3343</v>
      </c>
      <c r="L97" s="7" t="s">
        <v>3354</v>
      </c>
      <c r="M97" s="12" t="str">
        <f t="shared" si="1"/>
        <v xml:space="preserve">http://slimages.macys.com/is/image/MCY/3910851 </v>
      </c>
    </row>
    <row r="98" spans="1:13" ht="15.2" customHeight="1" x14ac:dyDescent="0.2">
      <c r="A98" s="6" t="s">
        <v>3889</v>
      </c>
      <c r="B98" s="7" t="s">
        <v>3890</v>
      </c>
      <c r="C98" s="8">
        <v>1</v>
      </c>
      <c r="D98" s="9">
        <v>11.89</v>
      </c>
      <c r="E98" s="9">
        <v>11.89</v>
      </c>
      <c r="F98" s="10">
        <v>27.99</v>
      </c>
      <c r="G98" s="9">
        <v>27.99</v>
      </c>
      <c r="H98" s="8" t="s">
        <v>3704</v>
      </c>
      <c r="I98" s="7" t="s">
        <v>3355</v>
      </c>
      <c r="J98" s="11" t="s">
        <v>3186</v>
      </c>
      <c r="K98" s="7" t="s">
        <v>3343</v>
      </c>
      <c r="L98" s="7" t="s">
        <v>3354</v>
      </c>
      <c r="M98" s="12" t="str">
        <f t="shared" si="1"/>
        <v xml:space="preserve">http://slimages.macys.com/is/image/MCY/3910851 </v>
      </c>
    </row>
    <row r="99" spans="1:13" ht="15.2" customHeight="1" x14ac:dyDescent="0.2">
      <c r="A99" s="6" t="s">
        <v>3887</v>
      </c>
      <c r="B99" s="7" t="s">
        <v>3888</v>
      </c>
      <c r="C99" s="8">
        <v>2</v>
      </c>
      <c r="D99" s="9">
        <v>11.89</v>
      </c>
      <c r="E99" s="9">
        <v>23.78</v>
      </c>
      <c r="F99" s="10">
        <v>27.99</v>
      </c>
      <c r="G99" s="9">
        <v>55.98</v>
      </c>
      <c r="H99" s="8" t="s">
        <v>3704</v>
      </c>
      <c r="I99" s="7" t="s">
        <v>3355</v>
      </c>
      <c r="J99" s="11" t="s">
        <v>3231</v>
      </c>
      <c r="K99" s="7" t="s">
        <v>3343</v>
      </c>
      <c r="L99" s="7" t="s">
        <v>3354</v>
      </c>
      <c r="M99" s="12" t="str">
        <f t="shared" si="1"/>
        <v xml:space="preserve">http://slimages.macys.com/is/image/MCY/3910851 </v>
      </c>
    </row>
    <row r="100" spans="1:13" ht="15.2" customHeight="1" x14ac:dyDescent="0.2">
      <c r="A100" s="6" t="s">
        <v>3885</v>
      </c>
      <c r="B100" s="7" t="s">
        <v>3886</v>
      </c>
      <c r="C100" s="8">
        <v>1</v>
      </c>
      <c r="D100" s="9">
        <v>11.89</v>
      </c>
      <c r="E100" s="9">
        <v>11.89</v>
      </c>
      <c r="F100" s="10">
        <v>27.99</v>
      </c>
      <c r="G100" s="9">
        <v>27.99</v>
      </c>
      <c r="H100" s="8" t="s">
        <v>3704</v>
      </c>
      <c r="I100" s="7" t="s">
        <v>3185</v>
      </c>
      <c r="J100" s="11" t="s">
        <v>3231</v>
      </c>
      <c r="K100" s="7" t="s">
        <v>3343</v>
      </c>
      <c r="L100" s="7" t="s">
        <v>3354</v>
      </c>
      <c r="M100" s="12" t="str">
        <f t="shared" si="1"/>
        <v xml:space="preserve">http://slimages.macys.com/is/image/MCY/3910851 </v>
      </c>
    </row>
    <row r="101" spans="1:13" ht="15.2" customHeight="1" x14ac:dyDescent="0.2">
      <c r="A101" s="6" t="s">
        <v>2652</v>
      </c>
      <c r="B101" s="7" t="s">
        <v>2653</v>
      </c>
      <c r="C101" s="8">
        <v>2</v>
      </c>
      <c r="D101" s="9">
        <v>11.89</v>
      </c>
      <c r="E101" s="9">
        <v>23.78</v>
      </c>
      <c r="F101" s="10">
        <v>27.99</v>
      </c>
      <c r="G101" s="9">
        <v>55.98</v>
      </c>
      <c r="H101" s="8" t="s">
        <v>3704</v>
      </c>
      <c r="I101" s="7" t="s">
        <v>3210</v>
      </c>
      <c r="J101" s="11" t="s">
        <v>3186</v>
      </c>
      <c r="K101" s="7" t="s">
        <v>3343</v>
      </c>
      <c r="L101" s="7" t="s">
        <v>3354</v>
      </c>
      <c r="M101" s="12" t="str">
        <f t="shared" si="1"/>
        <v xml:space="preserve">http://slimages.macys.com/is/image/MCY/3910851 </v>
      </c>
    </row>
    <row r="102" spans="1:13" ht="15.2" customHeight="1" x14ac:dyDescent="0.2">
      <c r="A102" s="6" t="s">
        <v>1211</v>
      </c>
      <c r="B102" s="7" t="s">
        <v>1212</v>
      </c>
      <c r="C102" s="8">
        <v>1</v>
      </c>
      <c r="D102" s="9">
        <v>11.5</v>
      </c>
      <c r="E102" s="9">
        <v>11.5</v>
      </c>
      <c r="F102" s="10">
        <v>25.99</v>
      </c>
      <c r="G102" s="9">
        <v>25.99</v>
      </c>
      <c r="H102" s="8" t="s">
        <v>3905</v>
      </c>
      <c r="I102" s="7" t="s">
        <v>3321</v>
      </c>
      <c r="J102" s="11" t="s">
        <v>3240</v>
      </c>
      <c r="K102" s="7" t="s">
        <v>3326</v>
      </c>
      <c r="L102" s="7" t="s">
        <v>3282</v>
      </c>
      <c r="M102" s="12" t="str">
        <f>HYPERLINK("http://slimages.macys.com/is/image/MCY/3858043 ")</f>
        <v xml:space="preserve">http://slimages.macys.com/is/image/MCY/3858043 </v>
      </c>
    </row>
    <row r="103" spans="1:13" ht="15.2" customHeight="1" x14ac:dyDescent="0.2">
      <c r="A103" s="6" t="s">
        <v>1213</v>
      </c>
      <c r="B103" s="7" t="s">
        <v>1214</v>
      </c>
      <c r="C103" s="8">
        <v>1</v>
      </c>
      <c r="D103" s="9">
        <v>11.5</v>
      </c>
      <c r="E103" s="9">
        <v>11.5</v>
      </c>
      <c r="F103" s="10">
        <v>29.99</v>
      </c>
      <c r="G103" s="9">
        <v>29.99</v>
      </c>
      <c r="H103" s="8" t="s">
        <v>4272</v>
      </c>
      <c r="I103" s="7" t="s">
        <v>3203</v>
      </c>
      <c r="J103" s="11" t="s">
        <v>3331</v>
      </c>
      <c r="K103" s="7" t="s">
        <v>3326</v>
      </c>
      <c r="L103" s="7" t="s">
        <v>3327</v>
      </c>
      <c r="M103" s="12" t="str">
        <f>HYPERLINK("http://slimages.macys.com/is/image/MCY/3899606 ")</f>
        <v xml:space="preserve">http://slimages.macys.com/is/image/MCY/3899606 </v>
      </c>
    </row>
    <row r="104" spans="1:13" ht="15.2" customHeight="1" x14ac:dyDescent="0.2">
      <c r="A104" s="6" t="s">
        <v>1215</v>
      </c>
      <c r="B104" s="7" t="s">
        <v>1216</v>
      </c>
      <c r="C104" s="8">
        <v>1</v>
      </c>
      <c r="D104" s="9">
        <v>11.5</v>
      </c>
      <c r="E104" s="9">
        <v>11.5</v>
      </c>
      <c r="F104" s="10">
        <v>22.99</v>
      </c>
      <c r="G104" s="9">
        <v>22.99</v>
      </c>
      <c r="H104" s="8" t="s">
        <v>1217</v>
      </c>
      <c r="I104" s="7" t="s">
        <v>3286</v>
      </c>
      <c r="J104" s="11" t="s">
        <v>3231</v>
      </c>
      <c r="K104" s="7" t="s">
        <v>3326</v>
      </c>
      <c r="L104" s="7" t="s">
        <v>3550</v>
      </c>
      <c r="M104" s="12" t="str">
        <f>HYPERLINK("http://slimages.macys.com/is/image/MCY/3954130 ")</f>
        <v xml:space="preserve">http://slimages.macys.com/is/image/MCY/3954130 </v>
      </c>
    </row>
    <row r="105" spans="1:13" ht="15.2" customHeight="1" x14ac:dyDescent="0.2">
      <c r="A105" s="6" t="s">
        <v>1218</v>
      </c>
      <c r="B105" s="7" t="s">
        <v>1219</v>
      </c>
      <c r="C105" s="8">
        <v>1</v>
      </c>
      <c r="D105" s="9">
        <v>11.5</v>
      </c>
      <c r="E105" s="9">
        <v>11.5</v>
      </c>
      <c r="F105" s="10">
        <v>29.99</v>
      </c>
      <c r="G105" s="9">
        <v>29.99</v>
      </c>
      <c r="H105" s="8" t="s">
        <v>1220</v>
      </c>
      <c r="I105" s="7" t="s">
        <v>3182</v>
      </c>
      <c r="J105" s="11" t="s">
        <v>3204</v>
      </c>
      <c r="K105" s="7" t="s">
        <v>3326</v>
      </c>
      <c r="L105" s="7" t="s">
        <v>3693</v>
      </c>
      <c r="M105" s="12" t="str">
        <f>HYPERLINK("http://slimages.macys.com/is/image/MCY/3581689 ")</f>
        <v xml:space="preserve">http://slimages.macys.com/is/image/MCY/3581689 </v>
      </c>
    </row>
    <row r="106" spans="1:13" ht="15.2" customHeight="1" x14ac:dyDescent="0.2">
      <c r="A106" s="6" t="s">
        <v>3907</v>
      </c>
      <c r="B106" s="7" t="s">
        <v>3908</v>
      </c>
      <c r="C106" s="8">
        <v>1</v>
      </c>
      <c r="D106" s="9">
        <v>11.25</v>
      </c>
      <c r="E106" s="9">
        <v>11.25</v>
      </c>
      <c r="F106" s="10">
        <v>29.99</v>
      </c>
      <c r="G106" s="9">
        <v>29.99</v>
      </c>
      <c r="H106" s="8" t="s">
        <v>3906</v>
      </c>
      <c r="I106" s="7" t="s">
        <v>3421</v>
      </c>
      <c r="J106" s="11" t="s">
        <v>3240</v>
      </c>
      <c r="K106" s="7" t="s">
        <v>3326</v>
      </c>
      <c r="L106" s="7" t="s">
        <v>3327</v>
      </c>
      <c r="M106" s="12" t="str">
        <f>HYPERLINK("http://slimages.macys.com/is/image/MCY/3825803 ")</f>
        <v xml:space="preserve">http://slimages.macys.com/is/image/MCY/3825803 </v>
      </c>
    </row>
    <row r="107" spans="1:13" ht="15.2" customHeight="1" x14ac:dyDescent="0.2">
      <c r="A107" s="6" t="s">
        <v>1221</v>
      </c>
      <c r="B107" s="7" t="s">
        <v>1222</v>
      </c>
      <c r="C107" s="8">
        <v>1</v>
      </c>
      <c r="D107" s="9">
        <v>11.25</v>
      </c>
      <c r="E107" s="9">
        <v>11.25</v>
      </c>
      <c r="F107" s="10">
        <v>29.99</v>
      </c>
      <c r="G107" s="9">
        <v>29.99</v>
      </c>
      <c r="H107" s="8" t="s">
        <v>3906</v>
      </c>
      <c r="I107" s="7" t="s">
        <v>3421</v>
      </c>
      <c r="J107" s="11" t="s">
        <v>3338</v>
      </c>
      <c r="K107" s="7" t="s">
        <v>3326</v>
      </c>
      <c r="L107" s="7" t="s">
        <v>3327</v>
      </c>
      <c r="M107" s="12" t="str">
        <f>HYPERLINK("http://slimages.macys.com/is/image/MCY/3825803 ")</f>
        <v xml:space="preserve">http://slimages.macys.com/is/image/MCY/3825803 </v>
      </c>
    </row>
    <row r="108" spans="1:13" ht="15.2" customHeight="1" x14ac:dyDescent="0.2">
      <c r="A108" s="6" t="s">
        <v>3909</v>
      </c>
      <c r="B108" s="7" t="s">
        <v>3910</v>
      </c>
      <c r="C108" s="8">
        <v>1</v>
      </c>
      <c r="D108" s="9">
        <v>11.25</v>
      </c>
      <c r="E108" s="9">
        <v>11.25</v>
      </c>
      <c r="F108" s="10">
        <v>29.99</v>
      </c>
      <c r="G108" s="9">
        <v>29.99</v>
      </c>
      <c r="H108" s="8" t="s">
        <v>3906</v>
      </c>
      <c r="I108" s="7" t="s">
        <v>3421</v>
      </c>
      <c r="J108" s="11" t="s">
        <v>3336</v>
      </c>
      <c r="K108" s="7" t="s">
        <v>3326</v>
      </c>
      <c r="L108" s="7" t="s">
        <v>3327</v>
      </c>
      <c r="M108" s="12" t="str">
        <f>HYPERLINK("http://slimages.macys.com/is/image/MCY/3825803 ")</f>
        <v xml:space="preserve">http://slimages.macys.com/is/image/MCY/3825803 </v>
      </c>
    </row>
    <row r="109" spans="1:13" ht="15.2" customHeight="1" x14ac:dyDescent="0.2">
      <c r="A109" s="6" t="s">
        <v>2704</v>
      </c>
      <c r="B109" s="7" t="s">
        <v>2705</v>
      </c>
      <c r="C109" s="8">
        <v>1</v>
      </c>
      <c r="D109" s="9">
        <v>10.5</v>
      </c>
      <c r="E109" s="9">
        <v>10.5</v>
      </c>
      <c r="F109" s="10">
        <v>27.99</v>
      </c>
      <c r="G109" s="9">
        <v>27.99</v>
      </c>
      <c r="H109" s="8" t="s">
        <v>3711</v>
      </c>
      <c r="I109" s="7"/>
      <c r="J109" s="11" t="s">
        <v>3202</v>
      </c>
      <c r="K109" s="7" t="s">
        <v>3343</v>
      </c>
      <c r="L109" s="7" t="s">
        <v>3356</v>
      </c>
      <c r="M109" s="12" t="str">
        <f>HYPERLINK("http://slimages.macys.com/is/image/MCY/3910853 ")</f>
        <v xml:space="preserve">http://slimages.macys.com/is/image/MCY/3910853 </v>
      </c>
    </row>
    <row r="110" spans="1:13" ht="15.2" customHeight="1" x14ac:dyDescent="0.2">
      <c r="A110" s="6" t="s">
        <v>1223</v>
      </c>
      <c r="B110" s="7" t="s">
        <v>1224</v>
      </c>
      <c r="C110" s="8">
        <v>3</v>
      </c>
      <c r="D110" s="9">
        <v>10.5</v>
      </c>
      <c r="E110" s="9">
        <v>31.5</v>
      </c>
      <c r="F110" s="10">
        <v>27.99</v>
      </c>
      <c r="G110" s="9">
        <v>83.97</v>
      </c>
      <c r="H110" s="8" t="s">
        <v>3711</v>
      </c>
      <c r="I110" s="7" t="s">
        <v>3390</v>
      </c>
      <c r="J110" s="11" t="s">
        <v>3220</v>
      </c>
      <c r="K110" s="7" t="s">
        <v>3343</v>
      </c>
      <c r="L110" s="7" t="s">
        <v>3356</v>
      </c>
      <c r="M110" s="12" t="str">
        <f>HYPERLINK("http://slimages.macys.com/is/image/MCY/3910858 ")</f>
        <v xml:space="preserve">http://slimages.macys.com/is/image/MCY/3910858 </v>
      </c>
    </row>
    <row r="111" spans="1:13" ht="15.2" customHeight="1" x14ac:dyDescent="0.2">
      <c r="A111" s="6" t="s">
        <v>1225</v>
      </c>
      <c r="B111" s="7" t="s">
        <v>1226</v>
      </c>
      <c r="C111" s="8">
        <v>4</v>
      </c>
      <c r="D111" s="9">
        <v>10.5</v>
      </c>
      <c r="E111" s="9">
        <v>42</v>
      </c>
      <c r="F111" s="10">
        <v>27.99</v>
      </c>
      <c r="G111" s="9">
        <v>111.96</v>
      </c>
      <c r="H111" s="8" t="s">
        <v>3711</v>
      </c>
      <c r="I111" s="7" t="s">
        <v>3321</v>
      </c>
      <c r="J111" s="11" t="s">
        <v>3202</v>
      </c>
      <c r="K111" s="7" t="s">
        <v>3343</v>
      </c>
      <c r="L111" s="7" t="s">
        <v>3356</v>
      </c>
      <c r="M111" s="12" t="str">
        <f>HYPERLINK("http://slimages.macys.com/is/image/MCY/3910853 ")</f>
        <v xml:space="preserve">http://slimages.macys.com/is/image/MCY/3910853 </v>
      </c>
    </row>
    <row r="112" spans="1:13" ht="15.2" customHeight="1" x14ac:dyDescent="0.2">
      <c r="A112" s="6" t="s">
        <v>3918</v>
      </c>
      <c r="B112" s="7" t="s">
        <v>3919</v>
      </c>
      <c r="C112" s="8">
        <v>1</v>
      </c>
      <c r="D112" s="9">
        <v>10.5</v>
      </c>
      <c r="E112" s="9">
        <v>10.5</v>
      </c>
      <c r="F112" s="10">
        <v>27.99</v>
      </c>
      <c r="G112" s="9">
        <v>27.99</v>
      </c>
      <c r="H112" s="8" t="s">
        <v>3711</v>
      </c>
      <c r="I112" s="7" t="s">
        <v>3321</v>
      </c>
      <c r="J112" s="11" t="s">
        <v>3186</v>
      </c>
      <c r="K112" s="7" t="s">
        <v>3343</v>
      </c>
      <c r="L112" s="7" t="s">
        <v>3356</v>
      </c>
      <c r="M112" s="12" t="str">
        <f>HYPERLINK("http://slimages.macys.com/is/image/MCY/3910853 ")</f>
        <v xml:space="preserve">http://slimages.macys.com/is/image/MCY/3910853 </v>
      </c>
    </row>
    <row r="113" spans="1:13" ht="15.2" customHeight="1" x14ac:dyDescent="0.2">
      <c r="A113" s="6" t="s">
        <v>1227</v>
      </c>
      <c r="B113" s="7" t="s">
        <v>1228</v>
      </c>
      <c r="C113" s="8">
        <v>1</v>
      </c>
      <c r="D113" s="9">
        <v>10.5</v>
      </c>
      <c r="E113" s="9">
        <v>10.5</v>
      </c>
      <c r="F113" s="10">
        <v>25.99</v>
      </c>
      <c r="G113" s="9">
        <v>25.99</v>
      </c>
      <c r="H113" s="8" t="s">
        <v>3920</v>
      </c>
      <c r="I113" s="7" t="s">
        <v>3257</v>
      </c>
      <c r="J113" s="11" t="s">
        <v>3340</v>
      </c>
      <c r="K113" s="7" t="s">
        <v>3326</v>
      </c>
      <c r="L113" s="7" t="s">
        <v>3282</v>
      </c>
      <c r="M113" s="12" t="str">
        <f>HYPERLINK("http://slimages.macys.com/is/image/MCY/3773860 ")</f>
        <v xml:space="preserve">http://slimages.macys.com/is/image/MCY/3773860 </v>
      </c>
    </row>
    <row r="114" spans="1:13" ht="15.2" customHeight="1" x14ac:dyDescent="0.2">
      <c r="A114" s="6" t="s">
        <v>1229</v>
      </c>
      <c r="B114" s="7" t="s">
        <v>1230</v>
      </c>
      <c r="C114" s="8">
        <v>2</v>
      </c>
      <c r="D114" s="9">
        <v>10.5</v>
      </c>
      <c r="E114" s="9">
        <v>21</v>
      </c>
      <c r="F114" s="10">
        <v>25.99</v>
      </c>
      <c r="G114" s="9">
        <v>51.98</v>
      </c>
      <c r="H114" s="8" t="s">
        <v>3920</v>
      </c>
      <c r="I114" s="7" t="s">
        <v>3257</v>
      </c>
      <c r="J114" s="11" t="s">
        <v>3336</v>
      </c>
      <c r="K114" s="7" t="s">
        <v>3326</v>
      </c>
      <c r="L114" s="7" t="s">
        <v>3282</v>
      </c>
      <c r="M114" s="12" t="str">
        <f>HYPERLINK("http://slimages.macys.com/is/image/MCY/3773860 ")</f>
        <v xml:space="preserve">http://slimages.macys.com/is/image/MCY/3773860 </v>
      </c>
    </row>
    <row r="115" spans="1:13" ht="15.2" customHeight="1" x14ac:dyDescent="0.2">
      <c r="A115" s="6" t="s">
        <v>3914</v>
      </c>
      <c r="B115" s="7" t="s">
        <v>3915</v>
      </c>
      <c r="C115" s="8">
        <v>1</v>
      </c>
      <c r="D115" s="9">
        <v>10.5</v>
      </c>
      <c r="E115" s="9">
        <v>10.5</v>
      </c>
      <c r="F115" s="10">
        <v>27.99</v>
      </c>
      <c r="G115" s="9">
        <v>27.99</v>
      </c>
      <c r="H115" s="8" t="s">
        <v>3711</v>
      </c>
      <c r="I115" s="7" t="s">
        <v>3321</v>
      </c>
      <c r="J115" s="11" t="s">
        <v>3186</v>
      </c>
      <c r="K115" s="7" t="s">
        <v>3343</v>
      </c>
      <c r="L115" s="7" t="s">
        <v>3356</v>
      </c>
      <c r="M115" s="12" t="str">
        <f>HYPERLINK("http://slimages.macys.com/is/image/MCY/3910858 ")</f>
        <v xml:space="preserve">http://slimages.macys.com/is/image/MCY/3910858 </v>
      </c>
    </row>
    <row r="116" spans="1:13" ht="15.2" customHeight="1" x14ac:dyDescent="0.2">
      <c r="A116" s="6" t="s">
        <v>1231</v>
      </c>
      <c r="B116" s="7" t="s">
        <v>1232</v>
      </c>
      <c r="C116" s="8">
        <v>1</v>
      </c>
      <c r="D116" s="9">
        <v>10.5</v>
      </c>
      <c r="E116" s="9">
        <v>10.5</v>
      </c>
      <c r="F116" s="10">
        <v>27.99</v>
      </c>
      <c r="G116" s="9">
        <v>27.99</v>
      </c>
      <c r="H116" s="8" t="s">
        <v>3711</v>
      </c>
      <c r="I116" s="7" t="s">
        <v>3321</v>
      </c>
      <c r="J116" s="11" t="s">
        <v>3231</v>
      </c>
      <c r="K116" s="7" t="s">
        <v>3343</v>
      </c>
      <c r="L116" s="7" t="s">
        <v>3356</v>
      </c>
      <c r="M116" s="12" t="str">
        <f>HYPERLINK("http://slimages.macys.com/is/image/MCY/3910853 ")</f>
        <v xml:space="preserve">http://slimages.macys.com/is/image/MCY/3910853 </v>
      </c>
    </row>
    <row r="117" spans="1:13" ht="15.2" customHeight="1" x14ac:dyDescent="0.2">
      <c r="A117" s="6" t="s">
        <v>3921</v>
      </c>
      <c r="B117" s="7" t="s">
        <v>3922</v>
      </c>
      <c r="C117" s="8">
        <v>1</v>
      </c>
      <c r="D117" s="9">
        <v>10.5</v>
      </c>
      <c r="E117" s="9">
        <v>10.5</v>
      </c>
      <c r="F117" s="10">
        <v>27.99</v>
      </c>
      <c r="G117" s="9">
        <v>27.99</v>
      </c>
      <c r="H117" s="8" t="s">
        <v>3711</v>
      </c>
      <c r="I117" s="7" t="s">
        <v>3321</v>
      </c>
      <c r="J117" s="11" t="s">
        <v>3231</v>
      </c>
      <c r="K117" s="7" t="s">
        <v>3343</v>
      </c>
      <c r="L117" s="7" t="s">
        <v>3356</v>
      </c>
      <c r="M117" s="12" t="str">
        <f>HYPERLINK("http://slimages.macys.com/is/image/MCY/3910858 ")</f>
        <v xml:space="preserve">http://slimages.macys.com/is/image/MCY/3910858 </v>
      </c>
    </row>
    <row r="118" spans="1:13" ht="15.2" customHeight="1" x14ac:dyDescent="0.2">
      <c r="A118" s="6" t="s">
        <v>2714</v>
      </c>
      <c r="B118" s="7" t="s">
        <v>2715</v>
      </c>
      <c r="C118" s="8">
        <v>8</v>
      </c>
      <c r="D118" s="9">
        <v>10.5</v>
      </c>
      <c r="E118" s="9">
        <v>84</v>
      </c>
      <c r="F118" s="10">
        <v>27.99</v>
      </c>
      <c r="G118" s="9">
        <v>223.92</v>
      </c>
      <c r="H118" s="8" t="s">
        <v>3711</v>
      </c>
      <c r="I118" s="7" t="s">
        <v>3390</v>
      </c>
      <c r="J118" s="11" t="s">
        <v>3186</v>
      </c>
      <c r="K118" s="7" t="s">
        <v>3343</v>
      </c>
      <c r="L118" s="7" t="s">
        <v>3356</v>
      </c>
      <c r="M118" s="12" t="str">
        <f>HYPERLINK("http://slimages.macys.com/is/image/MCY/3910858 ")</f>
        <v xml:space="preserve">http://slimages.macys.com/is/image/MCY/3910858 </v>
      </c>
    </row>
    <row r="119" spans="1:13" ht="15.2" customHeight="1" x14ac:dyDescent="0.2">
      <c r="A119" s="6" t="s">
        <v>2716</v>
      </c>
      <c r="B119" s="7" t="s">
        <v>2717</v>
      </c>
      <c r="C119" s="8">
        <v>6</v>
      </c>
      <c r="D119" s="9">
        <v>10.5</v>
      </c>
      <c r="E119" s="9">
        <v>63</v>
      </c>
      <c r="F119" s="10">
        <v>27.99</v>
      </c>
      <c r="G119" s="9">
        <v>167.94</v>
      </c>
      <c r="H119" s="8" t="s">
        <v>3711</v>
      </c>
      <c r="I119" s="7" t="s">
        <v>3321</v>
      </c>
      <c r="J119" s="11" t="s">
        <v>3220</v>
      </c>
      <c r="K119" s="7" t="s">
        <v>3343</v>
      </c>
      <c r="L119" s="7" t="s">
        <v>3356</v>
      </c>
      <c r="M119" s="12" t="str">
        <f>HYPERLINK("http://slimages.macys.com/is/image/MCY/3910853 ")</f>
        <v xml:space="preserve">http://slimages.macys.com/is/image/MCY/3910853 </v>
      </c>
    </row>
    <row r="120" spans="1:13" ht="15.2" customHeight="1" x14ac:dyDescent="0.2">
      <c r="A120" s="6" t="s">
        <v>2698</v>
      </c>
      <c r="B120" s="7" t="s">
        <v>2699</v>
      </c>
      <c r="C120" s="8">
        <v>1</v>
      </c>
      <c r="D120" s="9">
        <v>10.5</v>
      </c>
      <c r="E120" s="9">
        <v>10.5</v>
      </c>
      <c r="F120" s="10">
        <v>27.99</v>
      </c>
      <c r="G120" s="9">
        <v>27.99</v>
      </c>
      <c r="H120" s="8" t="s">
        <v>3711</v>
      </c>
      <c r="I120" s="7"/>
      <c r="J120" s="11" t="s">
        <v>3242</v>
      </c>
      <c r="K120" s="7" t="s">
        <v>3343</v>
      </c>
      <c r="L120" s="7" t="s">
        <v>3356</v>
      </c>
      <c r="M120" s="12" t="str">
        <f>HYPERLINK("http://slimages.macys.com/is/image/MCY/3910853 ")</f>
        <v xml:space="preserve">http://slimages.macys.com/is/image/MCY/3910853 </v>
      </c>
    </row>
    <row r="121" spans="1:13" ht="15.2" customHeight="1" x14ac:dyDescent="0.2">
      <c r="A121" s="6" t="s">
        <v>1233</v>
      </c>
      <c r="B121" s="7" t="s">
        <v>1234</v>
      </c>
      <c r="C121" s="8">
        <v>1</v>
      </c>
      <c r="D121" s="9">
        <v>10.5</v>
      </c>
      <c r="E121" s="9">
        <v>10.5</v>
      </c>
      <c r="F121" s="10">
        <v>27.99</v>
      </c>
      <c r="G121" s="9">
        <v>27.99</v>
      </c>
      <c r="H121" s="8" t="s">
        <v>3711</v>
      </c>
      <c r="I121" s="7"/>
      <c r="J121" s="11" t="s">
        <v>3231</v>
      </c>
      <c r="K121" s="7" t="s">
        <v>3343</v>
      </c>
      <c r="L121" s="7" t="s">
        <v>3356</v>
      </c>
      <c r="M121" s="12" t="str">
        <f>HYPERLINK("http://slimages.macys.com/is/image/MCY/3910853 ")</f>
        <v xml:space="preserve">http://slimages.macys.com/is/image/MCY/3910853 </v>
      </c>
    </row>
    <row r="122" spans="1:13" ht="15.2" customHeight="1" x14ac:dyDescent="0.2">
      <c r="A122" s="6" t="s">
        <v>2385</v>
      </c>
      <c r="B122" s="7" t="s">
        <v>2386</v>
      </c>
      <c r="C122" s="8">
        <v>2</v>
      </c>
      <c r="D122" s="9">
        <v>10.5</v>
      </c>
      <c r="E122" s="9">
        <v>21</v>
      </c>
      <c r="F122" s="10">
        <v>26.99</v>
      </c>
      <c r="G122" s="9">
        <v>53.98</v>
      </c>
      <c r="H122" s="8" t="s">
        <v>3925</v>
      </c>
      <c r="I122" s="7" t="s">
        <v>3196</v>
      </c>
      <c r="J122" s="11" t="s">
        <v>3186</v>
      </c>
      <c r="K122" s="7" t="s">
        <v>3241</v>
      </c>
      <c r="L122" s="7" t="s">
        <v>3632</v>
      </c>
      <c r="M122" s="12" t="str">
        <f>HYPERLINK("http://slimages.macys.com/is/image/MCY/3913023 ")</f>
        <v xml:space="preserve">http://slimages.macys.com/is/image/MCY/3913023 </v>
      </c>
    </row>
    <row r="123" spans="1:13" ht="15.2" customHeight="1" x14ac:dyDescent="0.2">
      <c r="A123" s="6" t="s">
        <v>1235</v>
      </c>
      <c r="B123" s="7" t="s">
        <v>1236</v>
      </c>
      <c r="C123" s="8">
        <v>7</v>
      </c>
      <c r="D123" s="9">
        <v>10.5</v>
      </c>
      <c r="E123" s="9">
        <v>73.5</v>
      </c>
      <c r="F123" s="10">
        <v>27.99</v>
      </c>
      <c r="G123" s="9">
        <v>195.93</v>
      </c>
      <c r="H123" s="8" t="s">
        <v>3711</v>
      </c>
      <c r="I123" s="7"/>
      <c r="J123" s="11" t="s">
        <v>3220</v>
      </c>
      <c r="K123" s="7" t="s">
        <v>3343</v>
      </c>
      <c r="L123" s="7" t="s">
        <v>3356</v>
      </c>
      <c r="M123" s="12" t="str">
        <f>HYPERLINK("http://slimages.macys.com/is/image/MCY/3910853 ")</f>
        <v xml:space="preserve">http://slimages.macys.com/is/image/MCY/3910853 </v>
      </c>
    </row>
    <row r="124" spans="1:13" ht="15.2" customHeight="1" x14ac:dyDescent="0.2">
      <c r="A124" s="6" t="s">
        <v>1237</v>
      </c>
      <c r="B124" s="7" t="s">
        <v>1238</v>
      </c>
      <c r="C124" s="8">
        <v>5</v>
      </c>
      <c r="D124" s="9">
        <v>10.5</v>
      </c>
      <c r="E124" s="9">
        <v>52.5</v>
      </c>
      <c r="F124" s="10">
        <v>27.99</v>
      </c>
      <c r="G124" s="9">
        <v>139.94999999999999</v>
      </c>
      <c r="H124" s="8" t="s">
        <v>3711</v>
      </c>
      <c r="I124" s="7"/>
      <c r="J124" s="11" t="s">
        <v>3186</v>
      </c>
      <c r="K124" s="7" t="s">
        <v>3343</v>
      </c>
      <c r="L124" s="7" t="s">
        <v>3356</v>
      </c>
      <c r="M124" s="12" t="str">
        <f>HYPERLINK("http://slimages.macys.com/is/image/MCY/3910853 ")</f>
        <v xml:space="preserve">http://slimages.macys.com/is/image/MCY/3910853 </v>
      </c>
    </row>
    <row r="125" spans="1:13" ht="15.2" customHeight="1" x14ac:dyDescent="0.2">
      <c r="A125" s="6" t="s">
        <v>1239</v>
      </c>
      <c r="B125" s="7" t="s">
        <v>1240</v>
      </c>
      <c r="C125" s="8">
        <v>2</v>
      </c>
      <c r="D125" s="9">
        <v>10.5</v>
      </c>
      <c r="E125" s="9">
        <v>21</v>
      </c>
      <c r="F125" s="10">
        <v>27.99</v>
      </c>
      <c r="G125" s="9">
        <v>55.98</v>
      </c>
      <c r="H125" s="8" t="s">
        <v>3711</v>
      </c>
      <c r="I125" s="7" t="s">
        <v>3390</v>
      </c>
      <c r="J125" s="11" t="s">
        <v>3202</v>
      </c>
      <c r="K125" s="7" t="s">
        <v>3343</v>
      </c>
      <c r="L125" s="7" t="s">
        <v>3356</v>
      </c>
      <c r="M125" s="12" t="str">
        <f>HYPERLINK("http://slimages.macys.com/is/image/MCY/3910858 ")</f>
        <v xml:space="preserve">http://slimages.macys.com/is/image/MCY/3910858 </v>
      </c>
    </row>
    <row r="126" spans="1:13" ht="15.2" customHeight="1" x14ac:dyDescent="0.2">
      <c r="A126" s="6" t="s">
        <v>2249</v>
      </c>
      <c r="B126" s="7" t="s">
        <v>2250</v>
      </c>
      <c r="C126" s="8">
        <v>1</v>
      </c>
      <c r="D126" s="9">
        <v>10.4</v>
      </c>
      <c r="E126" s="9">
        <v>10.4</v>
      </c>
      <c r="F126" s="10">
        <v>24.99</v>
      </c>
      <c r="G126" s="9">
        <v>24.99</v>
      </c>
      <c r="H126" s="8" t="s">
        <v>3375</v>
      </c>
      <c r="I126" s="7" t="s">
        <v>3364</v>
      </c>
      <c r="J126" s="11" t="s">
        <v>3202</v>
      </c>
      <c r="K126" s="7" t="s">
        <v>3334</v>
      </c>
      <c r="L126" s="7" t="s">
        <v>3324</v>
      </c>
      <c r="M126" s="12" t="str">
        <f>HYPERLINK("http://slimages.macys.com/is/image/MCY/3883081 ")</f>
        <v xml:space="preserve">http://slimages.macys.com/is/image/MCY/3883081 </v>
      </c>
    </row>
    <row r="127" spans="1:13" ht="15.2" customHeight="1" x14ac:dyDescent="0.2">
      <c r="A127" s="6" t="s">
        <v>1241</v>
      </c>
      <c r="B127" s="7" t="s">
        <v>1242</v>
      </c>
      <c r="C127" s="8">
        <v>1</v>
      </c>
      <c r="D127" s="9">
        <v>10</v>
      </c>
      <c r="E127" s="9">
        <v>10</v>
      </c>
      <c r="F127" s="10">
        <v>24.99</v>
      </c>
      <c r="G127" s="9">
        <v>24.99</v>
      </c>
      <c r="H127" s="8" t="s">
        <v>3380</v>
      </c>
      <c r="I127" s="7" t="s">
        <v>3246</v>
      </c>
      <c r="J127" s="11" t="s">
        <v>3220</v>
      </c>
      <c r="K127" s="7" t="s">
        <v>3343</v>
      </c>
      <c r="L127" s="7" t="s">
        <v>3371</v>
      </c>
      <c r="M127" s="12" t="str">
        <f>HYPERLINK("http://slimages.macys.com/is/image/MCY/3931167 ")</f>
        <v xml:space="preserve">http://slimages.macys.com/is/image/MCY/3931167 </v>
      </c>
    </row>
    <row r="128" spans="1:13" ht="15.2" customHeight="1" x14ac:dyDescent="0.2">
      <c r="A128" s="6" t="s">
        <v>3929</v>
      </c>
      <c r="B128" s="7" t="s">
        <v>3930</v>
      </c>
      <c r="C128" s="8">
        <v>3</v>
      </c>
      <c r="D128" s="9">
        <v>10</v>
      </c>
      <c r="E128" s="9">
        <v>30</v>
      </c>
      <c r="F128" s="10">
        <v>24.99</v>
      </c>
      <c r="G128" s="9">
        <v>74.97</v>
      </c>
      <c r="H128" s="8" t="s">
        <v>3380</v>
      </c>
      <c r="I128" s="7" t="s">
        <v>3185</v>
      </c>
      <c r="J128" s="11" t="s">
        <v>3186</v>
      </c>
      <c r="K128" s="7" t="s">
        <v>3343</v>
      </c>
      <c r="L128" s="7" t="s">
        <v>3371</v>
      </c>
      <c r="M128" s="12" t="str">
        <f>HYPERLINK("http://slimages.macys.com/is/image/MCY/3931167 ")</f>
        <v xml:space="preserve">http://slimages.macys.com/is/image/MCY/3931167 </v>
      </c>
    </row>
    <row r="129" spans="1:13" ht="15.2" customHeight="1" x14ac:dyDescent="0.2">
      <c r="A129" s="6" t="s">
        <v>2722</v>
      </c>
      <c r="B129" s="7" t="s">
        <v>2723</v>
      </c>
      <c r="C129" s="8">
        <v>1</v>
      </c>
      <c r="D129" s="9">
        <v>10</v>
      </c>
      <c r="E129" s="9">
        <v>10</v>
      </c>
      <c r="F129" s="10">
        <v>24.99</v>
      </c>
      <c r="G129" s="9">
        <v>24.99</v>
      </c>
      <c r="H129" s="8" t="s">
        <v>3380</v>
      </c>
      <c r="I129" s="7" t="s">
        <v>3382</v>
      </c>
      <c r="J129" s="11" t="s">
        <v>3186</v>
      </c>
      <c r="K129" s="7" t="s">
        <v>3343</v>
      </c>
      <c r="L129" s="7" t="s">
        <v>3371</v>
      </c>
      <c r="M129" s="12" t="str">
        <f>HYPERLINK("http://slimages.macys.com/is/image/MCY/3931167 ")</f>
        <v xml:space="preserve">http://slimages.macys.com/is/image/MCY/3931167 </v>
      </c>
    </row>
    <row r="130" spans="1:13" ht="15.2" customHeight="1" x14ac:dyDescent="0.2">
      <c r="A130" s="6" t="s">
        <v>1243</v>
      </c>
      <c r="B130" s="7" t="s">
        <v>1244</v>
      </c>
      <c r="C130" s="8">
        <v>1</v>
      </c>
      <c r="D130" s="9">
        <v>10</v>
      </c>
      <c r="E130" s="9">
        <v>10</v>
      </c>
      <c r="F130" s="10">
        <v>24.99</v>
      </c>
      <c r="G130" s="9">
        <v>24.99</v>
      </c>
      <c r="H130" s="8">
        <v>59817</v>
      </c>
      <c r="I130" s="7" t="s">
        <v>3382</v>
      </c>
      <c r="J130" s="11" t="s">
        <v>3202</v>
      </c>
      <c r="K130" s="7" t="s">
        <v>3343</v>
      </c>
      <c r="L130" s="7" t="s">
        <v>3367</v>
      </c>
      <c r="M130" s="12" t="str">
        <f>HYPERLINK("http://slimages.macys.com/is/image/MCY/3827474 ")</f>
        <v xml:space="preserve">http://slimages.macys.com/is/image/MCY/3827474 </v>
      </c>
    </row>
    <row r="131" spans="1:13" ht="15.2" customHeight="1" x14ac:dyDescent="0.2">
      <c r="A131" s="6" t="s">
        <v>3378</v>
      </c>
      <c r="B131" s="7" t="s">
        <v>3379</v>
      </c>
      <c r="C131" s="8">
        <v>1</v>
      </c>
      <c r="D131" s="9">
        <v>10</v>
      </c>
      <c r="E131" s="9">
        <v>10</v>
      </c>
      <c r="F131" s="10">
        <v>24.99</v>
      </c>
      <c r="G131" s="9">
        <v>24.99</v>
      </c>
      <c r="H131" s="8" t="s">
        <v>3380</v>
      </c>
      <c r="I131" s="7" t="s">
        <v>3381</v>
      </c>
      <c r="J131" s="11" t="s">
        <v>3220</v>
      </c>
      <c r="K131" s="7" t="s">
        <v>3343</v>
      </c>
      <c r="L131" s="7" t="s">
        <v>3371</v>
      </c>
      <c r="M131" s="12" t="str">
        <f>HYPERLINK("http://slimages.macys.com/is/image/MCY/3931167 ")</f>
        <v xml:space="preserve">http://slimages.macys.com/is/image/MCY/3931167 </v>
      </c>
    </row>
    <row r="132" spans="1:13" ht="15.2" customHeight="1" x14ac:dyDescent="0.2">
      <c r="A132" s="6" t="s">
        <v>1245</v>
      </c>
      <c r="B132" s="7" t="s">
        <v>1246</v>
      </c>
      <c r="C132" s="8">
        <v>1</v>
      </c>
      <c r="D132" s="9">
        <v>9.5299999999999994</v>
      </c>
      <c r="E132" s="9">
        <v>9.5299999999999994</v>
      </c>
      <c r="F132" s="10">
        <v>21.99</v>
      </c>
      <c r="G132" s="9">
        <v>21.99</v>
      </c>
      <c r="H132" s="8" t="s">
        <v>4275</v>
      </c>
      <c r="I132" s="7" t="s">
        <v>3185</v>
      </c>
      <c r="J132" s="11" t="s">
        <v>3202</v>
      </c>
      <c r="K132" s="7" t="s">
        <v>3300</v>
      </c>
      <c r="L132" s="7" t="s">
        <v>3301</v>
      </c>
      <c r="M132" s="12" t="str">
        <f>HYPERLINK("http://slimages.macys.com/is/image/MCY/3735072 ")</f>
        <v xml:space="preserve">http://slimages.macys.com/is/image/MCY/3735072 </v>
      </c>
    </row>
    <row r="133" spans="1:13" ht="15.2" customHeight="1" x14ac:dyDescent="0.2">
      <c r="A133" s="6" t="s">
        <v>1247</v>
      </c>
      <c r="B133" s="7" t="s">
        <v>1248</v>
      </c>
      <c r="C133" s="8">
        <v>3</v>
      </c>
      <c r="D133" s="9">
        <v>9.5</v>
      </c>
      <c r="E133" s="9">
        <v>28.5</v>
      </c>
      <c r="F133" s="10">
        <v>19.989999999999998</v>
      </c>
      <c r="G133" s="9">
        <v>59.97</v>
      </c>
      <c r="H133" s="8" t="s">
        <v>1249</v>
      </c>
      <c r="I133" s="7" t="s">
        <v>3203</v>
      </c>
      <c r="J133" s="11" t="s">
        <v>3231</v>
      </c>
      <c r="K133" s="7" t="s">
        <v>3387</v>
      </c>
      <c r="L133" s="7" t="s">
        <v>3388</v>
      </c>
      <c r="M133" s="12" t="str">
        <f>HYPERLINK("http://slimages.macys.com/is/image/MCY/3923909 ")</f>
        <v xml:space="preserve">http://slimages.macys.com/is/image/MCY/3923909 </v>
      </c>
    </row>
    <row r="134" spans="1:13" ht="15.2" customHeight="1" x14ac:dyDescent="0.2">
      <c r="A134" s="6" t="s">
        <v>1250</v>
      </c>
      <c r="B134" s="7" t="s">
        <v>1251</v>
      </c>
      <c r="C134" s="8">
        <v>1</v>
      </c>
      <c r="D134" s="9">
        <v>9.25</v>
      </c>
      <c r="E134" s="9">
        <v>9.25</v>
      </c>
      <c r="F134" s="10">
        <v>19.989999999999998</v>
      </c>
      <c r="G134" s="9">
        <v>19.989999999999998</v>
      </c>
      <c r="H134" s="8" t="s">
        <v>3393</v>
      </c>
      <c r="I134" s="7" t="s">
        <v>3234</v>
      </c>
      <c r="J134" s="11" t="s">
        <v>3186</v>
      </c>
      <c r="K134" s="7" t="s">
        <v>3387</v>
      </c>
      <c r="L134" s="7" t="s">
        <v>3388</v>
      </c>
      <c r="M134" s="12" t="str">
        <f>HYPERLINK("http://slimages.macys.com/is/image/MCY/3875956 ")</f>
        <v xml:space="preserve">http://slimages.macys.com/is/image/MCY/3875956 </v>
      </c>
    </row>
    <row r="135" spans="1:13" ht="15.2" customHeight="1" x14ac:dyDescent="0.2">
      <c r="A135" s="6" t="s">
        <v>1252</v>
      </c>
      <c r="B135" s="7" t="s">
        <v>1253</v>
      </c>
      <c r="C135" s="8">
        <v>1</v>
      </c>
      <c r="D135" s="9">
        <v>9.24</v>
      </c>
      <c r="E135" s="9">
        <v>9.24</v>
      </c>
      <c r="F135" s="10">
        <v>21.99</v>
      </c>
      <c r="G135" s="9">
        <v>21.99</v>
      </c>
      <c r="H135" s="8" t="s">
        <v>3932</v>
      </c>
      <c r="I135" s="7" t="s">
        <v>3185</v>
      </c>
      <c r="J135" s="11" t="s">
        <v>3231</v>
      </c>
      <c r="K135" s="7" t="s">
        <v>3300</v>
      </c>
      <c r="L135" s="7" t="s">
        <v>3301</v>
      </c>
      <c r="M135" s="12" t="str">
        <f>HYPERLINK("http://slimages.macys.com/is/image/MCY/3738496 ")</f>
        <v xml:space="preserve">http://slimages.macys.com/is/image/MCY/3738496 </v>
      </c>
    </row>
    <row r="136" spans="1:13" ht="15.2" customHeight="1" x14ac:dyDescent="0.2">
      <c r="A136" s="6" t="s">
        <v>4099</v>
      </c>
      <c r="B136" s="7" t="s">
        <v>4100</v>
      </c>
      <c r="C136" s="8">
        <v>1</v>
      </c>
      <c r="D136" s="9">
        <v>9.2200000000000006</v>
      </c>
      <c r="E136" s="9">
        <v>9.2200000000000006</v>
      </c>
      <c r="F136" s="10">
        <v>21.99</v>
      </c>
      <c r="G136" s="9">
        <v>21.99</v>
      </c>
      <c r="H136" s="8" t="s">
        <v>3937</v>
      </c>
      <c r="I136" s="7" t="s">
        <v>3185</v>
      </c>
      <c r="J136" s="11" t="s">
        <v>3242</v>
      </c>
      <c r="K136" s="7" t="s">
        <v>3300</v>
      </c>
      <c r="L136" s="7" t="s">
        <v>3301</v>
      </c>
      <c r="M136" s="12" t="str">
        <f>HYPERLINK("http://slimages.macys.com/is/image/MCY/3870610 ")</f>
        <v xml:space="preserve">http://slimages.macys.com/is/image/MCY/3870610 </v>
      </c>
    </row>
    <row r="137" spans="1:13" ht="15.2" customHeight="1" x14ac:dyDescent="0.2">
      <c r="A137" s="6" t="s">
        <v>2734</v>
      </c>
      <c r="B137" s="7" t="s">
        <v>2735</v>
      </c>
      <c r="C137" s="8">
        <v>1</v>
      </c>
      <c r="D137" s="9">
        <v>9.2200000000000006</v>
      </c>
      <c r="E137" s="9">
        <v>9.2200000000000006</v>
      </c>
      <c r="F137" s="10">
        <v>21.99</v>
      </c>
      <c r="G137" s="9">
        <v>21.99</v>
      </c>
      <c r="H137" s="8" t="s">
        <v>3397</v>
      </c>
      <c r="I137" s="7" t="s">
        <v>3216</v>
      </c>
      <c r="J137" s="11" t="s">
        <v>3202</v>
      </c>
      <c r="K137" s="7" t="s">
        <v>3300</v>
      </c>
      <c r="L137" s="7" t="s">
        <v>3301</v>
      </c>
      <c r="M137" s="12" t="str">
        <f>HYPERLINK("http://slimages.macys.com/is/image/MCY/3857710 ")</f>
        <v xml:space="preserve">http://slimages.macys.com/is/image/MCY/3857710 </v>
      </c>
    </row>
    <row r="138" spans="1:13" ht="15.2" customHeight="1" x14ac:dyDescent="0.2">
      <c r="A138" s="6" t="s">
        <v>1254</v>
      </c>
      <c r="B138" s="7" t="s">
        <v>1255</v>
      </c>
      <c r="C138" s="8">
        <v>2</v>
      </c>
      <c r="D138" s="9">
        <v>9.2200000000000006</v>
      </c>
      <c r="E138" s="9">
        <v>18.440000000000001</v>
      </c>
      <c r="F138" s="10">
        <v>21.99</v>
      </c>
      <c r="G138" s="9">
        <v>43.98</v>
      </c>
      <c r="H138" s="8" t="s">
        <v>3720</v>
      </c>
      <c r="I138" s="7" t="s">
        <v>3216</v>
      </c>
      <c r="J138" s="11" t="s">
        <v>3242</v>
      </c>
      <c r="K138" s="7" t="s">
        <v>3300</v>
      </c>
      <c r="L138" s="7" t="s">
        <v>3301</v>
      </c>
      <c r="M138" s="12" t="str">
        <f>HYPERLINK("http://slimages.macys.com/is/image/MCY/3857711 ")</f>
        <v xml:space="preserve">http://slimages.macys.com/is/image/MCY/3857711 </v>
      </c>
    </row>
    <row r="139" spans="1:13" ht="15.2" customHeight="1" x14ac:dyDescent="0.2">
      <c r="A139" s="6" t="s">
        <v>2401</v>
      </c>
      <c r="B139" s="7" t="s">
        <v>2402</v>
      </c>
      <c r="C139" s="8">
        <v>1</v>
      </c>
      <c r="D139" s="9">
        <v>9.1999999999999993</v>
      </c>
      <c r="E139" s="9">
        <v>9.1999999999999993</v>
      </c>
      <c r="F139" s="10">
        <v>21.99</v>
      </c>
      <c r="G139" s="9">
        <v>21.99</v>
      </c>
      <c r="H139" s="8" t="s">
        <v>3399</v>
      </c>
      <c r="I139" s="7" t="s">
        <v>3182</v>
      </c>
      <c r="J139" s="11" t="s">
        <v>3202</v>
      </c>
      <c r="K139" s="7" t="s">
        <v>3300</v>
      </c>
      <c r="L139" s="7" t="s">
        <v>3301</v>
      </c>
      <c r="M139" s="12" t="str">
        <f>HYPERLINK("http://slimages.macys.com/is/image/MCY/3857655 ")</f>
        <v xml:space="preserve">http://slimages.macys.com/is/image/MCY/3857655 </v>
      </c>
    </row>
    <row r="140" spans="1:13" ht="15.2" customHeight="1" x14ac:dyDescent="0.2">
      <c r="A140" s="6" t="s">
        <v>2264</v>
      </c>
      <c r="B140" s="7" t="s">
        <v>2265</v>
      </c>
      <c r="C140" s="8">
        <v>1</v>
      </c>
      <c r="D140" s="9">
        <v>9.1999999999999993</v>
      </c>
      <c r="E140" s="9">
        <v>9.1999999999999993</v>
      </c>
      <c r="F140" s="10">
        <v>21.99</v>
      </c>
      <c r="G140" s="9">
        <v>21.99</v>
      </c>
      <c r="H140" s="8" t="s">
        <v>4101</v>
      </c>
      <c r="I140" s="7" t="s">
        <v>3263</v>
      </c>
      <c r="J140" s="11" t="s">
        <v>3220</v>
      </c>
      <c r="K140" s="7" t="s">
        <v>3300</v>
      </c>
      <c r="L140" s="7" t="s">
        <v>3301</v>
      </c>
      <c r="M140" s="12" t="str">
        <f>HYPERLINK("http://slimages.macys.com/is/image/MCY/3857655 ")</f>
        <v xml:space="preserve">http://slimages.macys.com/is/image/MCY/3857655 </v>
      </c>
    </row>
    <row r="141" spans="1:13" ht="15.2" customHeight="1" x14ac:dyDescent="0.2">
      <c r="A141" s="6" t="s">
        <v>2262</v>
      </c>
      <c r="B141" s="7" t="s">
        <v>2263</v>
      </c>
      <c r="C141" s="8">
        <v>1</v>
      </c>
      <c r="D141" s="9">
        <v>9.1999999999999993</v>
      </c>
      <c r="E141" s="9">
        <v>9.1999999999999993</v>
      </c>
      <c r="F141" s="10">
        <v>21.99</v>
      </c>
      <c r="G141" s="9">
        <v>21.99</v>
      </c>
      <c r="H141" s="8" t="s">
        <v>4101</v>
      </c>
      <c r="I141" s="7" t="s">
        <v>3263</v>
      </c>
      <c r="J141" s="11" t="s">
        <v>3202</v>
      </c>
      <c r="K141" s="7" t="s">
        <v>3300</v>
      </c>
      <c r="L141" s="7" t="s">
        <v>3301</v>
      </c>
      <c r="M141" s="12" t="str">
        <f>HYPERLINK("http://slimages.macys.com/is/image/MCY/3857655 ")</f>
        <v xml:space="preserve">http://slimages.macys.com/is/image/MCY/3857655 </v>
      </c>
    </row>
    <row r="142" spans="1:13" ht="15.2" customHeight="1" x14ac:dyDescent="0.2">
      <c r="A142" s="6" t="s">
        <v>2760</v>
      </c>
      <c r="B142" s="7" t="s">
        <v>2761</v>
      </c>
      <c r="C142" s="8">
        <v>1</v>
      </c>
      <c r="D142" s="9">
        <v>9.1</v>
      </c>
      <c r="E142" s="9">
        <v>9.1</v>
      </c>
      <c r="F142" s="10">
        <v>19.989999999999998</v>
      </c>
      <c r="G142" s="9">
        <v>19.989999999999998</v>
      </c>
      <c r="H142" s="8" t="s">
        <v>4102</v>
      </c>
      <c r="I142" s="7" t="s">
        <v>3185</v>
      </c>
      <c r="J142" s="11" t="s">
        <v>3186</v>
      </c>
      <c r="K142" s="7" t="s">
        <v>3343</v>
      </c>
      <c r="L142" s="7" t="s">
        <v>3384</v>
      </c>
      <c r="M142" s="12" t="str">
        <f>HYPERLINK("http://slimages.macys.com/is/image/MCY/3853655 ")</f>
        <v xml:space="preserve">http://slimages.macys.com/is/image/MCY/3853655 </v>
      </c>
    </row>
    <row r="143" spans="1:13" ht="15.2" customHeight="1" x14ac:dyDescent="0.2">
      <c r="A143" s="6" t="s">
        <v>4103</v>
      </c>
      <c r="B143" s="7" t="s">
        <v>4104</v>
      </c>
      <c r="C143" s="8">
        <v>1</v>
      </c>
      <c r="D143" s="9">
        <v>9.1</v>
      </c>
      <c r="E143" s="9">
        <v>9.1</v>
      </c>
      <c r="F143" s="10">
        <v>19.989999999999998</v>
      </c>
      <c r="G143" s="9">
        <v>19.989999999999998</v>
      </c>
      <c r="H143" s="8" t="s">
        <v>3401</v>
      </c>
      <c r="I143" s="7" t="s">
        <v>3321</v>
      </c>
      <c r="J143" s="11" t="s">
        <v>3202</v>
      </c>
      <c r="K143" s="7" t="s">
        <v>3343</v>
      </c>
      <c r="L143" s="7" t="s">
        <v>3384</v>
      </c>
      <c r="M143" s="12" t="str">
        <f>HYPERLINK("http://slimages.macys.com/is/image/MCY/3821780 ")</f>
        <v xml:space="preserve">http://slimages.macys.com/is/image/MCY/3821780 </v>
      </c>
    </row>
    <row r="144" spans="1:13" ht="15.2" customHeight="1" x14ac:dyDescent="0.2">
      <c r="A144" s="6" t="s">
        <v>1256</v>
      </c>
      <c r="B144" s="7" t="s">
        <v>1257</v>
      </c>
      <c r="C144" s="8">
        <v>1</v>
      </c>
      <c r="D144" s="9">
        <v>9</v>
      </c>
      <c r="E144" s="9">
        <v>9</v>
      </c>
      <c r="F144" s="10">
        <v>19.989999999999998</v>
      </c>
      <c r="G144" s="9">
        <v>19.989999999999998</v>
      </c>
      <c r="H144" s="8" t="s">
        <v>3403</v>
      </c>
      <c r="I144" s="7" t="s">
        <v>3182</v>
      </c>
      <c r="J144" s="11" t="s">
        <v>3231</v>
      </c>
      <c r="K144" s="7" t="s">
        <v>3323</v>
      </c>
      <c r="L144" s="7" t="s">
        <v>3356</v>
      </c>
      <c r="M144" s="12" t="str">
        <f>HYPERLINK("http://slimages.macys.com/is/image/MCY/3890895 ")</f>
        <v xml:space="preserve">http://slimages.macys.com/is/image/MCY/3890895 </v>
      </c>
    </row>
    <row r="145" spans="1:13" ht="15.2" customHeight="1" x14ac:dyDescent="0.2">
      <c r="A145" s="6" t="s">
        <v>3943</v>
      </c>
      <c r="B145" s="7" t="s">
        <v>3944</v>
      </c>
      <c r="C145" s="8">
        <v>1</v>
      </c>
      <c r="D145" s="9">
        <v>9</v>
      </c>
      <c r="E145" s="9">
        <v>9</v>
      </c>
      <c r="F145" s="10">
        <v>19.989999999999998</v>
      </c>
      <c r="G145" s="9">
        <v>19.989999999999998</v>
      </c>
      <c r="H145" s="8" t="s">
        <v>3403</v>
      </c>
      <c r="I145" s="7" t="s">
        <v>3339</v>
      </c>
      <c r="J145" s="11" t="s">
        <v>3202</v>
      </c>
      <c r="K145" s="7" t="s">
        <v>3323</v>
      </c>
      <c r="L145" s="7" t="s">
        <v>3356</v>
      </c>
      <c r="M145" s="12" t="str">
        <f>HYPERLINK("http://slimages.macys.com/is/image/MCY/3890895 ")</f>
        <v xml:space="preserve">http://slimages.macys.com/is/image/MCY/3890895 </v>
      </c>
    </row>
    <row r="146" spans="1:13" ht="15.2" customHeight="1" x14ac:dyDescent="0.2">
      <c r="A146" s="6" t="s">
        <v>1258</v>
      </c>
      <c r="B146" s="7" t="s">
        <v>1259</v>
      </c>
      <c r="C146" s="8">
        <v>1</v>
      </c>
      <c r="D146" s="9">
        <v>8.75</v>
      </c>
      <c r="E146" s="9">
        <v>8.75</v>
      </c>
      <c r="F146" s="10">
        <v>19.989999999999998</v>
      </c>
      <c r="G146" s="9">
        <v>19.989999999999998</v>
      </c>
      <c r="H146" s="8">
        <v>60433875</v>
      </c>
      <c r="I146" s="7" t="s">
        <v>3246</v>
      </c>
      <c r="J146" s="11" t="s">
        <v>3186</v>
      </c>
      <c r="K146" s="7" t="s">
        <v>3343</v>
      </c>
      <c r="L146" s="7" t="s">
        <v>3368</v>
      </c>
      <c r="M146" s="12" t="str">
        <f>HYPERLINK("http://slimages.macys.com/is/image/MCY/3915853 ")</f>
        <v xml:space="preserve">http://slimages.macys.com/is/image/MCY/3915853 </v>
      </c>
    </row>
    <row r="147" spans="1:13" ht="15.2" customHeight="1" x14ac:dyDescent="0.2">
      <c r="A147" s="6" t="s">
        <v>1260</v>
      </c>
      <c r="B147" s="7" t="s">
        <v>1261</v>
      </c>
      <c r="C147" s="8">
        <v>1</v>
      </c>
      <c r="D147" s="9">
        <v>8.69</v>
      </c>
      <c r="E147" s="9">
        <v>8.69</v>
      </c>
      <c r="F147" s="10">
        <v>16.989999999999998</v>
      </c>
      <c r="G147" s="9">
        <v>16.989999999999998</v>
      </c>
      <c r="H147" s="8">
        <v>60446927</v>
      </c>
      <c r="I147" s="7" t="s">
        <v>3185</v>
      </c>
      <c r="J147" s="11" t="s">
        <v>3242</v>
      </c>
      <c r="K147" s="7" t="s">
        <v>3334</v>
      </c>
      <c r="L147" s="7" t="s">
        <v>3368</v>
      </c>
      <c r="M147" s="12" t="str">
        <f>HYPERLINK("http://slimages.macys.com/is/image/MCY/3927792 ")</f>
        <v xml:space="preserve">http://slimages.macys.com/is/image/MCY/3927792 </v>
      </c>
    </row>
    <row r="148" spans="1:13" ht="15.2" customHeight="1" x14ac:dyDescent="0.2">
      <c r="A148" s="6" t="s">
        <v>1262</v>
      </c>
      <c r="B148" s="7" t="s">
        <v>1263</v>
      </c>
      <c r="C148" s="8">
        <v>1</v>
      </c>
      <c r="D148" s="9">
        <v>8.5500000000000007</v>
      </c>
      <c r="E148" s="9">
        <v>8.5500000000000007</v>
      </c>
      <c r="F148" s="10">
        <v>19.989999999999998</v>
      </c>
      <c r="G148" s="9">
        <v>19.989999999999998</v>
      </c>
      <c r="H148" s="8" t="s">
        <v>2778</v>
      </c>
      <c r="I148" s="7" t="s">
        <v>3182</v>
      </c>
      <c r="J148" s="11" t="s">
        <v>3220</v>
      </c>
      <c r="K148" s="7" t="s">
        <v>3343</v>
      </c>
      <c r="L148" s="7" t="s">
        <v>3367</v>
      </c>
      <c r="M148" s="12" t="str">
        <f>HYPERLINK("http://slimages.macys.com/is/image/MCY/3931020 ")</f>
        <v xml:space="preserve">http://slimages.macys.com/is/image/MCY/3931020 </v>
      </c>
    </row>
    <row r="149" spans="1:13" ht="15.2" customHeight="1" x14ac:dyDescent="0.2">
      <c r="A149" s="6" t="s">
        <v>1264</v>
      </c>
      <c r="B149" s="7" t="s">
        <v>1265</v>
      </c>
      <c r="C149" s="8">
        <v>1</v>
      </c>
      <c r="D149" s="9">
        <v>8.5500000000000007</v>
      </c>
      <c r="E149" s="9">
        <v>8.5500000000000007</v>
      </c>
      <c r="F149" s="10">
        <v>19.989999999999998</v>
      </c>
      <c r="G149" s="9">
        <v>19.989999999999998</v>
      </c>
      <c r="H149" s="8" t="s">
        <v>3405</v>
      </c>
      <c r="I149" s="7" t="s">
        <v>3185</v>
      </c>
      <c r="J149" s="11" t="s">
        <v>3236</v>
      </c>
      <c r="K149" s="7" t="s">
        <v>3343</v>
      </c>
      <c r="L149" s="7" t="s">
        <v>3367</v>
      </c>
      <c r="M149" s="12" t="str">
        <f>HYPERLINK("http://slimages.macys.com/is/image/MCY/3787632 ")</f>
        <v xml:space="preserve">http://slimages.macys.com/is/image/MCY/3787632 </v>
      </c>
    </row>
    <row r="150" spans="1:13" ht="15.2" customHeight="1" x14ac:dyDescent="0.2">
      <c r="A150" s="6" t="s">
        <v>1266</v>
      </c>
      <c r="B150" s="7" t="s">
        <v>1267</v>
      </c>
      <c r="C150" s="8">
        <v>1</v>
      </c>
      <c r="D150" s="9">
        <v>8.5</v>
      </c>
      <c r="E150" s="9">
        <v>8.5</v>
      </c>
      <c r="F150" s="10">
        <v>19.989999999999998</v>
      </c>
      <c r="G150" s="9">
        <v>19.989999999999998</v>
      </c>
      <c r="H150" s="8" t="s">
        <v>3417</v>
      </c>
      <c r="I150" s="7" t="s">
        <v>3382</v>
      </c>
      <c r="J150" s="11" t="s">
        <v>3186</v>
      </c>
      <c r="K150" s="7" t="s">
        <v>3323</v>
      </c>
      <c r="L150" s="7" t="s">
        <v>3356</v>
      </c>
      <c r="M150" s="12" t="str">
        <f>HYPERLINK("http://slimages.macys.com/is/image/MCY/3890886 ")</f>
        <v xml:space="preserve">http://slimages.macys.com/is/image/MCY/3890886 </v>
      </c>
    </row>
    <row r="151" spans="1:13" ht="15.2" customHeight="1" x14ac:dyDescent="0.2">
      <c r="A151" s="6" t="s">
        <v>1268</v>
      </c>
      <c r="B151" s="7" t="s">
        <v>1269</v>
      </c>
      <c r="C151" s="8">
        <v>1</v>
      </c>
      <c r="D151" s="9">
        <v>8.5</v>
      </c>
      <c r="E151" s="9">
        <v>8.5</v>
      </c>
      <c r="F151" s="10">
        <v>19.989999999999998</v>
      </c>
      <c r="G151" s="9">
        <v>19.989999999999998</v>
      </c>
      <c r="H151" s="8" t="s">
        <v>1270</v>
      </c>
      <c r="I151" s="7" t="s">
        <v>3191</v>
      </c>
      <c r="J151" s="11" t="s">
        <v>3186</v>
      </c>
      <c r="K151" s="7" t="s">
        <v>3323</v>
      </c>
      <c r="L151" s="7" t="s">
        <v>3369</v>
      </c>
      <c r="M151" s="12" t="str">
        <f>HYPERLINK("http://slimages.macys.com/is/image/MCY/3651029 ")</f>
        <v xml:space="preserve">http://slimages.macys.com/is/image/MCY/3651029 </v>
      </c>
    </row>
    <row r="152" spans="1:13" ht="15.2" customHeight="1" x14ac:dyDescent="0.2">
      <c r="A152" s="6" t="s">
        <v>3949</v>
      </c>
      <c r="B152" s="7" t="s">
        <v>3950</v>
      </c>
      <c r="C152" s="8">
        <v>1</v>
      </c>
      <c r="D152" s="9">
        <v>8.5</v>
      </c>
      <c r="E152" s="9">
        <v>8.5</v>
      </c>
      <c r="F152" s="10">
        <v>19.989999999999998</v>
      </c>
      <c r="G152" s="9">
        <v>19.989999999999998</v>
      </c>
      <c r="H152" s="8" t="s">
        <v>3406</v>
      </c>
      <c r="I152" s="7" t="s">
        <v>3386</v>
      </c>
      <c r="J152" s="11" t="s">
        <v>3231</v>
      </c>
      <c r="K152" s="7" t="s">
        <v>3323</v>
      </c>
      <c r="L152" s="7" t="s">
        <v>3407</v>
      </c>
      <c r="M152" s="12" t="str">
        <f>HYPERLINK("http://slimages.macys.com/is/image/MCY/3910788 ")</f>
        <v xml:space="preserve">http://slimages.macys.com/is/image/MCY/3910788 </v>
      </c>
    </row>
    <row r="153" spans="1:13" ht="15.2" customHeight="1" x14ac:dyDescent="0.2">
      <c r="A153" s="6" t="s">
        <v>1271</v>
      </c>
      <c r="B153" s="7" t="s">
        <v>1272</v>
      </c>
      <c r="C153" s="8">
        <v>1</v>
      </c>
      <c r="D153" s="9">
        <v>8.5</v>
      </c>
      <c r="E153" s="9">
        <v>8.5</v>
      </c>
      <c r="F153" s="10">
        <v>19.989999999999998</v>
      </c>
      <c r="G153" s="9">
        <v>19.989999999999998</v>
      </c>
      <c r="H153" s="8">
        <v>60433871</v>
      </c>
      <c r="I153" s="7" t="s">
        <v>3339</v>
      </c>
      <c r="J153" s="11" t="s">
        <v>3220</v>
      </c>
      <c r="K153" s="7" t="s">
        <v>3343</v>
      </c>
      <c r="L153" s="7" t="s">
        <v>3368</v>
      </c>
      <c r="M153" s="12" t="str">
        <f>HYPERLINK("http://slimages.macys.com/is/image/MCY/3910875 ")</f>
        <v xml:space="preserve">http://slimages.macys.com/is/image/MCY/3910875 </v>
      </c>
    </row>
    <row r="154" spans="1:13" ht="15.2" customHeight="1" x14ac:dyDescent="0.2">
      <c r="A154" s="6" t="s">
        <v>1273</v>
      </c>
      <c r="B154" s="7" t="s">
        <v>1274</v>
      </c>
      <c r="C154" s="8">
        <v>1</v>
      </c>
      <c r="D154" s="9">
        <v>8.4499999999999993</v>
      </c>
      <c r="E154" s="9">
        <v>8.4499999999999993</v>
      </c>
      <c r="F154" s="10">
        <v>19.989999999999998</v>
      </c>
      <c r="G154" s="9">
        <v>19.989999999999998</v>
      </c>
      <c r="H154" s="8" t="s">
        <v>2804</v>
      </c>
      <c r="I154" s="7" t="s">
        <v>3185</v>
      </c>
      <c r="J154" s="11" t="s">
        <v>3231</v>
      </c>
      <c r="K154" s="7" t="s">
        <v>3323</v>
      </c>
      <c r="L154" s="7" t="s">
        <v>3407</v>
      </c>
      <c r="M154" s="12" t="str">
        <f>HYPERLINK("http://slimages.macys.com/is/image/MCY/3947122 ")</f>
        <v xml:space="preserve">http://slimages.macys.com/is/image/MCY/3947122 </v>
      </c>
    </row>
    <row r="155" spans="1:13" ht="15.2" customHeight="1" x14ac:dyDescent="0.2">
      <c r="A155" s="6" t="s">
        <v>1275</v>
      </c>
      <c r="B155" s="7" t="s">
        <v>1276</v>
      </c>
      <c r="C155" s="8">
        <v>1</v>
      </c>
      <c r="D155" s="9">
        <v>8.25</v>
      </c>
      <c r="E155" s="9">
        <v>8.25</v>
      </c>
      <c r="F155" s="10">
        <v>19.989999999999998</v>
      </c>
      <c r="G155" s="9">
        <v>19.989999999999998</v>
      </c>
      <c r="H155" s="8" t="s">
        <v>1277</v>
      </c>
      <c r="I155" s="7" t="s">
        <v>3252</v>
      </c>
      <c r="J155" s="11" t="s">
        <v>3186</v>
      </c>
      <c r="K155" s="7" t="s">
        <v>3323</v>
      </c>
      <c r="L155" s="7" t="s">
        <v>3407</v>
      </c>
      <c r="M155" s="12" t="str">
        <f>HYPERLINK("http://slimages.macys.com/is/image/MCY/3645183 ")</f>
        <v xml:space="preserve">http://slimages.macys.com/is/image/MCY/3645183 </v>
      </c>
    </row>
    <row r="156" spans="1:13" ht="15.2" customHeight="1" x14ac:dyDescent="0.2">
      <c r="A156" s="6" t="s">
        <v>1278</v>
      </c>
      <c r="B156" s="7" t="s">
        <v>1279</v>
      </c>
      <c r="C156" s="8">
        <v>1</v>
      </c>
      <c r="D156" s="9">
        <v>8.25</v>
      </c>
      <c r="E156" s="9">
        <v>8.25</v>
      </c>
      <c r="F156" s="10">
        <v>19.989999999999998</v>
      </c>
      <c r="G156" s="9">
        <v>19.989999999999998</v>
      </c>
      <c r="H156" s="8" t="s">
        <v>1280</v>
      </c>
      <c r="I156" s="7" t="s">
        <v>3257</v>
      </c>
      <c r="J156" s="11" t="s">
        <v>3186</v>
      </c>
      <c r="K156" s="7" t="s">
        <v>3323</v>
      </c>
      <c r="L156" s="7" t="s">
        <v>3369</v>
      </c>
      <c r="M156" s="12" t="str">
        <f>HYPERLINK("http://slimages.macys.com/is/image/MCY/3683136 ")</f>
        <v xml:space="preserve">http://slimages.macys.com/is/image/MCY/3683136 </v>
      </c>
    </row>
    <row r="157" spans="1:13" ht="15.2" customHeight="1" x14ac:dyDescent="0.2">
      <c r="A157" s="6" t="s">
        <v>1281</v>
      </c>
      <c r="B157" s="7" t="s">
        <v>1282</v>
      </c>
      <c r="C157" s="8">
        <v>1</v>
      </c>
      <c r="D157" s="9">
        <v>8.25</v>
      </c>
      <c r="E157" s="9">
        <v>8.25</v>
      </c>
      <c r="F157" s="10">
        <v>19.989999999999998</v>
      </c>
      <c r="G157" s="9">
        <v>19.989999999999998</v>
      </c>
      <c r="H157" s="8" t="s">
        <v>3964</v>
      </c>
      <c r="I157" s="7" t="s">
        <v>3364</v>
      </c>
      <c r="J157" s="11" t="s">
        <v>3220</v>
      </c>
      <c r="K157" s="7" t="s">
        <v>3323</v>
      </c>
      <c r="L157" s="7" t="s">
        <v>3344</v>
      </c>
      <c r="M157" s="12" t="str">
        <f>HYPERLINK("http://slimages.macys.com/is/image/MCY/3910904 ")</f>
        <v xml:space="preserve">http://slimages.macys.com/is/image/MCY/3910904 </v>
      </c>
    </row>
    <row r="158" spans="1:13" ht="15.2" customHeight="1" x14ac:dyDescent="0.2">
      <c r="A158" s="6" t="s">
        <v>1283</v>
      </c>
      <c r="B158" s="7" t="s">
        <v>1284</v>
      </c>
      <c r="C158" s="8">
        <v>1</v>
      </c>
      <c r="D158" s="9">
        <v>8.25</v>
      </c>
      <c r="E158" s="9">
        <v>8.25</v>
      </c>
      <c r="F158" s="10">
        <v>16.989999999999998</v>
      </c>
      <c r="G158" s="9">
        <v>16.989999999999998</v>
      </c>
      <c r="H158" s="8" t="s">
        <v>1285</v>
      </c>
      <c r="I158" s="7" t="s">
        <v>3210</v>
      </c>
      <c r="J158" s="11" t="s">
        <v>3692</v>
      </c>
      <c r="K158" s="7" t="s">
        <v>3343</v>
      </c>
      <c r="L158" s="7" t="s">
        <v>3367</v>
      </c>
      <c r="M158" s="12" t="str">
        <f>HYPERLINK("http://slimages.macys.com/is/image/MCY/3931081 ")</f>
        <v xml:space="preserve">http://slimages.macys.com/is/image/MCY/3931081 </v>
      </c>
    </row>
    <row r="159" spans="1:13" ht="15.2" customHeight="1" x14ac:dyDescent="0.2">
      <c r="A159" s="6" t="s">
        <v>1286</v>
      </c>
      <c r="B159" s="7" t="s">
        <v>1287</v>
      </c>
      <c r="C159" s="8">
        <v>1</v>
      </c>
      <c r="D159" s="9">
        <v>8.25</v>
      </c>
      <c r="E159" s="9">
        <v>8.25</v>
      </c>
      <c r="F159" s="10">
        <v>16.989999999999998</v>
      </c>
      <c r="G159" s="9">
        <v>16.989999999999998</v>
      </c>
      <c r="H159" s="8" t="s">
        <v>1288</v>
      </c>
      <c r="I159" s="7"/>
      <c r="J159" s="11" t="s">
        <v>3692</v>
      </c>
      <c r="K159" s="7" t="s">
        <v>3343</v>
      </c>
      <c r="L159" s="7" t="s">
        <v>3367</v>
      </c>
      <c r="M159" s="12" t="str">
        <f>HYPERLINK("http://slimages.macys.com/is/image/MCY/3931056 ")</f>
        <v xml:space="preserve">http://slimages.macys.com/is/image/MCY/3931056 </v>
      </c>
    </row>
    <row r="160" spans="1:13" ht="15.2" customHeight="1" x14ac:dyDescent="0.2">
      <c r="A160" s="6" t="s">
        <v>1289</v>
      </c>
      <c r="B160" s="7" t="s">
        <v>1290</v>
      </c>
      <c r="C160" s="8">
        <v>1</v>
      </c>
      <c r="D160" s="9">
        <v>8.1</v>
      </c>
      <c r="E160" s="9">
        <v>8.1</v>
      </c>
      <c r="F160" s="10">
        <v>19.989999999999998</v>
      </c>
      <c r="G160" s="9">
        <v>19.989999999999998</v>
      </c>
      <c r="H160" s="8">
        <v>60449400</v>
      </c>
      <c r="I160" s="7" t="s">
        <v>3219</v>
      </c>
      <c r="J160" s="11" t="s">
        <v>3231</v>
      </c>
      <c r="K160" s="7" t="s">
        <v>3334</v>
      </c>
      <c r="L160" s="7" t="s">
        <v>3368</v>
      </c>
      <c r="M160" s="12" t="str">
        <f>HYPERLINK("http://slimages.macys.com/is/image/MCY/3940667 ")</f>
        <v xml:space="preserve">http://slimages.macys.com/is/image/MCY/3940667 </v>
      </c>
    </row>
    <row r="161" spans="1:13" ht="15.2" customHeight="1" x14ac:dyDescent="0.2">
      <c r="A161" s="6" t="s">
        <v>4298</v>
      </c>
      <c r="B161" s="7" t="s">
        <v>4299</v>
      </c>
      <c r="C161" s="8">
        <v>2</v>
      </c>
      <c r="D161" s="9">
        <v>8</v>
      </c>
      <c r="E161" s="9">
        <v>16</v>
      </c>
      <c r="F161" s="10">
        <v>19.989999999999998</v>
      </c>
      <c r="G161" s="9">
        <v>39.979999999999997</v>
      </c>
      <c r="H161" s="8" t="s">
        <v>4297</v>
      </c>
      <c r="I161" s="7" t="s">
        <v>3321</v>
      </c>
      <c r="J161" s="11" t="s">
        <v>3220</v>
      </c>
      <c r="K161" s="7" t="s">
        <v>3323</v>
      </c>
      <c r="L161" s="7" t="s">
        <v>3356</v>
      </c>
      <c r="M161" s="12" t="str">
        <f>HYPERLINK("http://slimages.macys.com/is/image/MCY/3719772 ")</f>
        <v xml:space="preserve">http://slimages.macys.com/is/image/MCY/3719772 </v>
      </c>
    </row>
    <row r="162" spans="1:13" ht="15.2" customHeight="1" x14ac:dyDescent="0.2">
      <c r="A162" s="6" t="s">
        <v>1291</v>
      </c>
      <c r="B162" s="7" t="s">
        <v>1292</v>
      </c>
      <c r="C162" s="8">
        <v>1</v>
      </c>
      <c r="D162" s="9">
        <v>8</v>
      </c>
      <c r="E162" s="9">
        <v>8</v>
      </c>
      <c r="F162" s="10">
        <v>19.989999999999998</v>
      </c>
      <c r="G162" s="9">
        <v>19.989999999999998</v>
      </c>
      <c r="H162" s="8" t="s">
        <v>1293</v>
      </c>
      <c r="I162" s="7" t="s">
        <v>3185</v>
      </c>
      <c r="J162" s="11" t="s">
        <v>3242</v>
      </c>
      <c r="K162" s="7" t="s">
        <v>3323</v>
      </c>
      <c r="L162" s="7" t="s">
        <v>3407</v>
      </c>
      <c r="M162" s="12" t="str">
        <f>HYPERLINK("http://slimages.macys.com/is/image/MCY/3820941 ")</f>
        <v xml:space="preserve">http://slimages.macys.com/is/image/MCY/3820941 </v>
      </c>
    </row>
    <row r="163" spans="1:13" ht="15.2" customHeight="1" x14ac:dyDescent="0.2">
      <c r="A163" s="6" t="s">
        <v>1294</v>
      </c>
      <c r="B163" s="7" t="s">
        <v>1295</v>
      </c>
      <c r="C163" s="8">
        <v>1</v>
      </c>
      <c r="D163" s="9">
        <v>8</v>
      </c>
      <c r="E163" s="9">
        <v>8</v>
      </c>
      <c r="F163" s="10">
        <v>19.989999999999998</v>
      </c>
      <c r="G163" s="9">
        <v>19.989999999999998</v>
      </c>
      <c r="H163" s="8" t="s">
        <v>4297</v>
      </c>
      <c r="I163" s="7" t="s">
        <v>3355</v>
      </c>
      <c r="J163" s="11" t="s">
        <v>3242</v>
      </c>
      <c r="K163" s="7" t="s">
        <v>3323</v>
      </c>
      <c r="L163" s="7" t="s">
        <v>3356</v>
      </c>
      <c r="M163" s="12" t="str">
        <f>HYPERLINK("http://slimages.macys.com/is/image/MCY/3719772 ")</f>
        <v xml:space="preserve">http://slimages.macys.com/is/image/MCY/3719772 </v>
      </c>
    </row>
    <row r="164" spans="1:13" ht="15.2" customHeight="1" x14ac:dyDescent="0.2">
      <c r="A164" s="6" t="s">
        <v>1296</v>
      </c>
      <c r="B164" s="7" t="s">
        <v>1297</v>
      </c>
      <c r="C164" s="8">
        <v>2</v>
      </c>
      <c r="D164" s="9">
        <v>7.82</v>
      </c>
      <c r="E164" s="9">
        <v>15.64</v>
      </c>
      <c r="F164" s="10">
        <v>16.989999999999998</v>
      </c>
      <c r="G164" s="9">
        <v>33.979999999999997</v>
      </c>
      <c r="H164" s="8">
        <v>60450149</v>
      </c>
      <c r="I164" s="7" t="s">
        <v>3214</v>
      </c>
      <c r="J164" s="11" t="s">
        <v>3202</v>
      </c>
      <c r="K164" s="7" t="s">
        <v>3334</v>
      </c>
      <c r="L164" s="7" t="s">
        <v>3368</v>
      </c>
      <c r="M164" s="12" t="str">
        <f>HYPERLINK("http://slimages.macys.com/is/image/MCY/3955026 ")</f>
        <v xml:space="preserve">http://slimages.macys.com/is/image/MCY/3955026 </v>
      </c>
    </row>
    <row r="165" spans="1:13" ht="15.2" customHeight="1" x14ac:dyDescent="0.2">
      <c r="A165" s="6" t="s">
        <v>4312</v>
      </c>
      <c r="B165" s="7" t="s">
        <v>4313</v>
      </c>
      <c r="C165" s="8">
        <v>1</v>
      </c>
      <c r="D165" s="9">
        <v>7.63</v>
      </c>
      <c r="E165" s="9">
        <v>7.63</v>
      </c>
      <c r="F165" s="10">
        <v>22.5</v>
      </c>
      <c r="G165" s="9">
        <v>22.5</v>
      </c>
      <c r="H165" s="8" t="s">
        <v>4304</v>
      </c>
      <c r="I165" s="7" t="s">
        <v>3185</v>
      </c>
      <c r="J165" s="11" t="s">
        <v>3231</v>
      </c>
      <c r="K165" s="7" t="s">
        <v>3232</v>
      </c>
      <c r="L165" s="7" t="s">
        <v>3431</v>
      </c>
      <c r="M165" s="12" t="str">
        <f>HYPERLINK("http://slimages.macys.com/is/image/MCY/2217104 ")</f>
        <v xml:space="preserve">http://slimages.macys.com/is/image/MCY/2217104 </v>
      </c>
    </row>
    <row r="166" spans="1:13" ht="15.2" customHeight="1" x14ac:dyDescent="0.2">
      <c r="A166" s="6" t="s">
        <v>4302</v>
      </c>
      <c r="B166" s="7" t="s">
        <v>4303</v>
      </c>
      <c r="C166" s="8">
        <v>1</v>
      </c>
      <c r="D166" s="9">
        <v>7.63</v>
      </c>
      <c r="E166" s="9">
        <v>7.63</v>
      </c>
      <c r="F166" s="10">
        <v>22.5</v>
      </c>
      <c r="G166" s="9">
        <v>22.5</v>
      </c>
      <c r="H166" s="8" t="s">
        <v>4304</v>
      </c>
      <c r="I166" s="7" t="s">
        <v>3185</v>
      </c>
      <c r="J166" s="11" t="s">
        <v>3186</v>
      </c>
      <c r="K166" s="7" t="s">
        <v>3232</v>
      </c>
      <c r="L166" s="7" t="s">
        <v>3431</v>
      </c>
      <c r="M166" s="12" t="str">
        <f>HYPERLINK("http://slimages.macys.com/is/image/MCY/2217104 ")</f>
        <v xml:space="preserve">http://slimages.macys.com/is/image/MCY/2217104 </v>
      </c>
    </row>
    <row r="167" spans="1:13" ht="15.2" customHeight="1" x14ac:dyDescent="0.2">
      <c r="A167" s="6" t="s">
        <v>4314</v>
      </c>
      <c r="B167" s="7" t="s">
        <v>4315</v>
      </c>
      <c r="C167" s="8">
        <v>1</v>
      </c>
      <c r="D167" s="9">
        <v>7.63</v>
      </c>
      <c r="E167" s="9">
        <v>7.63</v>
      </c>
      <c r="F167" s="10">
        <v>22.5</v>
      </c>
      <c r="G167" s="9">
        <v>22.5</v>
      </c>
      <c r="H167" s="8" t="s">
        <v>4304</v>
      </c>
      <c r="I167" s="7" t="s">
        <v>3185</v>
      </c>
      <c r="J167" s="11" t="s">
        <v>3220</v>
      </c>
      <c r="K167" s="7" t="s">
        <v>3232</v>
      </c>
      <c r="L167" s="7" t="s">
        <v>3431</v>
      </c>
      <c r="M167" s="12" t="str">
        <f>HYPERLINK("http://slimages.macys.com/is/image/MCY/2217104 ")</f>
        <v xml:space="preserve">http://slimages.macys.com/is/image/MCY/2217104 </v>
      </c>
    </row>
    <row r="168" spans="1:13" ht="15.2" customHeight="1" x14ac:dyDescent="0.2">
      <c r="A168" s="6" t="s">
        <v>4308</v>
      </c>
      <c r="B168" s="7" t="s">
        <v>4309</v>
      </c>
      <c r="C168" s="8">
        <v>2</v>
      </c>
      <c r="D168" s="9">
        <v>7.63</v>
      </c>
      <c r="E168" s="9">
        <v>15.26</v>
      </c>
      <c r="F168" s="10">
        <v>22.5</v>
      </c>
      <c r="G168" s="9">
        <v>45</v>
      </c>
      <c r="H168" s="8" t="s">
        <v>4304</v>
      </c>
      <c r="I168" s="7" t="s">
        <v>3185</v>
      </c>
      <c r="J168" s="11" t="s">
        <v>3202</v>
      </c>
      <c r="K168" s="7" t="s">
        <v>3232</v>
      </c>
      <c r="L168" s="7" t="s">
        <v>3431</v>
      </c>
      <c r="M168" s="12" t="str">
        <f>HYPERLINK("http://slimages.macys.com/is/image/MCY/2217104 ")</f>
        <v xml:space="preserve">http://slimages.macys.com/is/image/MCY/2217104 </v>
      </c>
    </row>
    <row r="169" spans="1:13" ht="15.2" customHeight="1" x14ac:dyDescent="0.2">
      <c r="A169" s="6" t="s">
        <v>4310</v>
      </c>
      <c r="B169" s="7" t="s">
        <v>4311</v>
      </c>
      <c r="C169" s="8">
        <v>2</v>
      </c>
      <c r="D169" s="9">
        <v>7.63</v>
      </c>
      <c r="E169" s="9">
        <v>15.26</v>
      </c>
      <c r="F169" s="10">
        <v>22.5</v>
      </c>
      <c r="G169" s="9">
        <v>45</v>
      </c>
      <c r="H169" s="8" t="s">
        <v>4305</v>
      </c>
      <c r="I169" s="7" t="s">
        <v>3185</v>
      </c>
      <c r="J169" s="11" t="s">
        <v>3186</v>
      </c>
      <c r="K169" s="7" t="s">
        <v>3232</v>
      </c>
      <c r="L169" s="7" t="s">
        <v>3431</v>
      </c>
      <c r="M169" s="12" t="str">
        <f>HYPERLINK("http://slimages.macys.com/is/image/MCY/2217105 ")</f>
        <v xml:space="preserve">http://slimages.macys.com/is/image/MCY/2217105 </v>
      </c>
    </row>
    <row r="170" spans="1:13" ht="15.2" customHeight="1" x14ac:dyDescent="0.2">
      <c r="A170" s="6" t="s">
        <v>2413</v>
      </c>
      <c r="B170" s="7" t="s">
        <v>2414</v>
      </c>
      <c r="C170" s="8">
        <v>1</v>
      </c>
      <c r="D170" s="9">
        <v>7.55</v>
      </c>
      <c r="E170" s="9">
        <v>7.55</v>
      </c>
      <c r="F170" s="10">
        <v>22.5</v>
      </c>
      <c r="G170" s="9">
        <v>22.5</v>
      </c>
      <c r="H170" s="8" t="s">
        <v>3973</v>
      </c>
      <c r="I170" s="7" t="s">
        <v>3185</v>
      </c>
      <c r="J170" s="11"/>
      <c r="K170" s="7" t="s">
        <v>3232</v>
      </c>
      <c r="L170" s="7" t="s">
        <v>3431</v>
      </c>
      <c r="M170" s="12" t="str">
        <f>HYPERLINK("http://slimages.macys.com/is/image/MCY/1506837 ")</f>
        <v xml:space="preserve">http://slimages.macys.com/is/image/MCY/1506837 </v>
      </c>
    </row>
    <row r="171" spans="1:13" ht="15.2" customHeight="1" x14ac:dyDescent="0.2">
      <c r="A171" s="6" t="s">
        <v>1298</v>
      </c>
      <c r="B171" s="7" t="s">
        <v>1299</v>
      </c>
      <c r="C171" s="8">
        <v>2</v>
      </c>
      <c r="D171" s="9">
        <v>7.5</v>
      </c>
      <c r="E171" s="9">
        <v>15</v>
      </c>
      <c r="F171" s="10">
        <v>10.99</v>
      </c>
      <c r="G171" s="9">
        <v>21.98</v>
      </c>
      <c r="H171" s="8">
        <v>60408642</v>
      </c>
      <c r="I171" s="7" t="s">
        <v>3185</v>
      </c>
      <c r="J171" s="11" t="s">
        <v>3220</v>
      </c>
      <c r="K171" s="7" t="s">
        <v>3387</v>
      </c>
      <c r="L171" s="7" t="s">
        <v>3368</v>
      </c>
      <c r="M171" s="12" t="str">
        <f>HYPERLINK("http://slimages.macys.com/is/image/MCY/3076974 ")</f>
        <v xml:space="preserve">http://slimages.macys.com/is/image/MCY/3076974 </v>
      </c>
    </row>
    <row r="172" spans="1:13" ht="15.2" customHeight="1" x14ac:dyDescent="0.2">
      <c r="A172" s="6" t="s">
        <v>3434</v>
      </c>
      <c r="B172" s="7" t="s">
        <v>3435</v>
      </c>
      <c r="C172" s="8">
        <v>1</v>
      </c>
      <c r="D172" s="9">
        <v>7</v>
      </c>
      <c r="E172" s="9">
        <v>7</v>
      </c>
      <c r="F172" s="10">
        <v>19.989999999999998</v>
      </c>
      <c r="G172" s="9">
        <v>19.989999999999998</v>
      </c>
      <c r="H172" s="8" t="s">
        <v>3436</v>
      </c>
      <c r="I172" s="7" t="s">
        <v>3185</v>
      </c>
      <c r="J172" s="11" t="s">
        <v>3202</v>
      </c>
      <c r="K172" s="7" t="s">
        <v>3323</v>
      </c>
      <c r="L172" s="7" t="s">
        <v>3371</v>
      </c>
      <c r="M172" s="12" t="str">
        <f>HYPERLINK("http://slimages.macys.com/is/image/MCY/3910801 ")</f>
        <v xml:space="preserve">http://slimages.macys.com/is/image/MCY/3910801 </v>
      </c>
    </row>
    <row r="173" spans="1:13" ht="15.2" customHeight="1" x14ac:dyDescent="0.2">
      <c r="A173" s="6" t="s">
        <v>1300</v>
      </c>
      <c r="B173" s="7" t="s">
        <v>1301</v>
      </c>
      <c r="C173" s="8">
        <v>1</v>
      </c>
      <c r="D173" s="9">
        <v>7</v>
      </c>
      <c r="E173" s="9">
        <v>7</v>
      </c>
      <c r="F173" s="10">
        <v>19.989999999999998</v>
      </c>
      <c r="G173" s="9">
        <v>19.989999999999998</v>
      </c>
      <c r="H173" s="8" t="s">
        <v>3436</v>
      </c>
      <c r="I173" s="7" t="s">
        <v>3382</v>
      </c>
      <c r="J173" s="11" t="s">
        <v>3186</v>
      </c>
      <c r="K173" s="7" t="s">
        <v>3323</v>
      </c>
      <c r="L173" s="7" t="s">
        <v>3371</v>
      </c>
      <c r="M173" s="12" t="str">
        <f>HYPERLINK("http://slimages.macys.com/is/image/MCY/3910801 ")</f>
        <v xml:space="preserve">http://slimages.macys.com/is/image/MCY/3910801 </v>
      </c>
    </row>
    <row r="174" spans="1:13" ht="15.2" customHeight="1" x14ac:dyDescent="0.2">
      <c r="A174" s="6" t="s">
        <v>2268</v>
      </c>
      <c r="B174" s="7" t="s">
        <v>2269</v>
      </c>
      <c r="C174" s="8">
        <v>2</v>
      </c>
      <c r="D174" s="9">
        <v>7</v>
      </c>
      <c r="E174" s="9">
        <v>14</v>
      </c>
      <c r="F174" s="10">
        <v>19.989999999999998</v>
      </c>
      <c r="G174" s="9">
        <v>39.979999999999997</v>
      </c>
      <c r="H174" s="8" t="s">
        <v>2270</v>
      </c>
      <c r="I174" s="7" t="s">
        <v>3386</v>
      </c>
      <c r="J174" s="11" t="s">
        <v>3186</v>
      </c>
      <c r="K174" s="7" t="s">
        <v>3387</v>
      </c>
      <c r="L174" s="7" t="s">
        <v>3429</v>
      </c>
      <c r="M174" s="12" t="str">
        <f>HYPERLINK("http://slimages.macys.com/is/image/MCY/3774255 ")</f>
        <v xml:space="preserve">http://slimages.macys.com/is/image/MCY/3774255 </v>
      </c>
    </row>
    <row r="175" spans="1:13" ht="15.2" customHeight="1" x14ac:dyDescent="0.2">
      <c r="A175" s="6" t="s">
        <v>4319</v>
      </c>
      <c r="B175" s="7" t="s">
        <v>4320</v>
      </c>
      <c r="C175" s="8">
        <v>1</v>
      </c>
      <c r="D175" s="9">
        <v>7</v>
      </c>
      <c r="E175" s="9">
        <v>7</v>
      </c>
      <c r="F175" s="10">
        <v>19.989999999999998</v>
      </c>
      <c r="G175" s="9">
        <v>19.989999999999998</v>
      </c>
      <c r="H175" s="8" t="s">
        <v>3436</v>
      </c>
      <c r="I175" s="7" t="s">
        <v>3382</v>
      </c>
      <c r="J175" s="11" t="s">
        <v>3202</v>
      </c>
      <c r="K175" s="7" t="s">
        <v>3323</v>
      </c>
      <c r="L175" s="7" t="s">
        <v>3371</v>
      </c>
      <c r="M175" s="12" t="str">
        <f>HYPERLINK("http://slimages.macys.com/is/image/MCY/3910801 ")</f>
        <v xml:space="preserve">http://slimages.macys.com/is/image/MCY/3910801 </v>
      </c>
    </row>
    <row r="176" spans="1:13" ht="15.2" customHeight="1" x14ac:dyDescent="0.2">
      <c r="A176" s="6" t="s">
        <v>1302</v>
      </c>
      <c r="B176" s="7" t="s">
        <v>1303</v>
      </c>
      <c r="C176" s="8">
        <v>1</v>
      </c>
      <c r="D176" s="9">
        <v>7</v>
      </c>
      <c r="E176" s="9">
        <v>7</v>
      </c>
      <c r="F176" s="10">
        <v>19.989999999999998</v>
      </c>
      <c r="G176" s="9">
        <v>19.989999999999998</v>
      </c>
      <c r="H176" s="8" t="s">
        <v>3436</v>
      </c>
      <c r="I176" s="7" t="s">
        <v>3189</v>
      </c>
      <c r="J176" s="11" t="s">
        <v>3202</v>
      </c>
      <c r="K176" s="7" t="s">
        <v>3323</v>
      </c>
      <c r="L176" s="7" t="s">
        <v>3371</v>
      </c>
      <c r="M176" s="12" t="str">
        <f>HYPERLINK("http://slimages.macys.com/is/image/MCY/3910801 ")</f>
        <v xml:space="preserve">http://slimages.macys.com/is/image/MCY/3910801 </v>
      </c>
    </row>
    <row r="177" spans="1:13" ht="15.2" customHeight="1" x14ac:dyDescent="0.2">
      <c r="A177" s="6" t="s">
        <v>1304</v>
      </c>
      <c r="B177" s="7" t="s">
        <v>1305</v>
      </c>
      <c r="C177" s="8">
        <v>1</v>
      </c>
      <c r="D177" s="9">
        <v>7</v>
      </c>
      <c r="E177" s="9">
        <v>7</v>
      </c>
      <c r="F177" s="10">
        <v>19.989999999999998</v>
      </c>
      <c r="G177" s="9">
        <v>19.989999999999998</v>
      </c>
      <c r="H177" s="8" t="s">
        <v>3436</v>
      </c>
      <c r="I177" s="7" t="s">
        <v>3185</v>
      </c>
      <c r="J177" s="11" t="s">
        <v>3186</v>
      </c>
      <c r="K177" s="7" t="s">
        <v>3323</v>
      </c>
      <c r="L177" s="7" t="s">
        <v>3371</v>
      </c>
      <c r="M177" s="12" t="str">
        <f>HYPERLINK("http://slimages.macys.com/is/image/MCY/3910801 ")</f>
        <v xml:space="preserve">http://slimages.macys.com/is/image/MCY/3910801 </v>
      </c>
    </row>
    <row r="178" spans="1:13" ht="15.2" customHeight="1" x14ac:dyDescent="0.2">
      <c r="A178" s="6" t="s">
        <v>1306</v>
      </c>
      <c r="B178" s="7" t="s">
        <v>1307</v>
      </c>
      <c r="C178" s="8">
        <v>1</v>
      </c>
      <c r="D178" s="9">
        <v>6.79</v>
      </c>
      <c r="E178" s="9">
        <v>6.79</v>
      </c>
      <c r="F178" s="10">
        <v>14.99</v>
      </c>
      <c r="G178" s="9">
        <v>14.99</v>
      </c>
      <c r="H178" s="8" t="s">
        <v>1308</v>
      </c>
      <c r="I178" s="7" t="s">
        <v>3185</v>
      </c>
      <c r="J178" s="11" t="s">
        <v>3220</v>
      </c>
      <c r="K178" s="7" t="s">
        <v>3300</v>
      </c>
      <c r="L178" s="7" t="s">
        <v>3301</v>
      </c>
      <c r="M178" s="12" t="str">
        <f>HYPERLINK("http://slimages.macys.com/is/image/MCY/3426669 ")</f>
        <v xml:space="preserve">http://slimages.macys.com/is/image/MCY/3426669 </v>
      </c>
    </row>
    <row r="179" spans="1:13" ht="15.2" customHeight="1" x14ac:dyDescent="0.2">
      <c r="A179" s="6" t="s">
        <v>1309</v>
      </c>
      <c r="B179" s="7" t="s">
        <v>1310</v>
      </c>
      <c r="C179" s="8">
        <v>1</v>
      </c>
      <c r="D179" s="9">
        <v>6.3</v>
      </c>
      <c r="E179" s="9">
        <v>6.3</v>
      </c>
      <c r="F179" s="10">
        <v>14.99</v>
      </c>
      <c r="G179" s="9">
        <v>14.99</v>
      </c>
      <c r="H179" s="8" t="s">
        <v>3445</v>
      </c>
      <c r="I179" s="7" t="s">
        <v>3216</v>
      </c>
      <c r="J179" s="11" t="s">
        <v>3186</v>
      </c>
      <c r="K179" s="7" t="s">
        <v>3300</v>
      </c>
      <c r="L179" s="7" t="s">
        <v>3301</v>
      </c>
      <c r="M179" s="12" t="str">
        <f>HYPERLINK("http://slimages.macys.com/is/image/MCY/3876250 ")</f>
        <v xml:space="preserve">http://slimages.macys.com/is/image/MCY/3876250 </v>
      </c>
    </row>
    <row r="180" spans="1:13" ht="15.2" customHeight="1" x14ac:dyDescent="0.2">
      <c r="A180" s="6" t="s">
        <v>1311</v>
      </c>
      <c r="B180" s="7" t="s">
        <v>1312</v>
      </c>
      <c r="C180" s="8">
        <v>1</v>
      </c>
      <c r="D180" s="9">
        <v>6.3</v>
      </c>
      <c r="E180" s="9">
        <v>6.3</v>
      </c>
      <c r="F180" s="10">
        <v>14.99</v>
      </c>
      <c r="G180" s="9">
        <v>14.99</v>
      </c>
      <c r="H180" s="8" t="s">
        <v>4132</v>
      </c>
      <c r="I180" s="7" t="s">
        <v>3252</v>
      </c>
      <c r="J180" s="11" t="s">
        <v>3231</v>
      </c>
      <c r="K180" s="7" t="s">
        <v>3300</v>
      </c>
      <c r="L180" s="7" t="s">
        <v>3301</v>
      </c>
      <c r="M180" s="12" t="str">
        <f>HYPERLINK("http://slimages.macys.com/is/image/MCY/3953479 ")</f>
        <v xml:space="preserve">http://slimages.macys.com/is/image/MCY/3953479 </v>
      </c>
    </row>
    <row r="181" spans="1:13" ht="15.2" customHeight="1" x14ac:dyDescent="0.2">
      <c r="A181" s="6" t="s">
        <v>1313</v>
      </c>
      <c r="B181" s="7" t="s">
        <v>1314</v>
      </c>
      <c r="C181" s="8">
        <v>1</v>
      </c>
      <c r="D181" s="9">
        <v>6.25</v>
      </c>
      <c r="E181" s="9">
        <v>6.25</v>
      </c>
      <c r="F181" s="10">
        <v>16.989999999999998</v>
      </c>
      <c r="G181" s="9">
        <v>16.989999999999998</v>
      </c>
      <c r="H181" s="8" t="s">
        <v>1315</v>
      </c>
      <c r="I181" s="7" t="s">
        <v>3234</v>
      </c>
      <c r="J181" s="11" t="s">
        <v>3202</v>
      </c>
      <c r="K181" s="7" t="s">
        <v>3323</v>
      </c>
      <c r="L181" s="7" t="s">
        <v>3344</v>
      </c>
      <c r="M181" s="12" t="str">
        <f>HYPERLINK("http://slimages.macys.com/is/image/MCY/3721365 ")</f>
        <v xml:space="preserve">http://slimages.macys.com/is/image/MCY/3721365 </v>
      </c>
    </row>
    <row r="182" spans="1:13" ht="15.2" customHeight="1" x14ac:dyDescent="0.2">
      <c r="A182" s="6" t="s">
        <v>1316</v>
      </c>
      <c r="B182" s="7" t="s">
        <v>1317</v>
      </c>
      <c r="C182" s="8">
        <v>1</v>
      </c>
      <c r="D182" s="9">
        <v>6.25</v>
      </c>
      <c r="E182" s="9">
        <v>6.25</v>
      </c>
      <c r="F182" s="10">
        <v>13.99</v>
      </c>
      <c r="G182" s="9">
        <v>13.99</v>
      </c>
      <c r="H182" s="8">
        <v>60445052</v>
      </c>
      <c r="I182" s="7" t="s">
        <v>3216</v>
      </c>
      <c r="J182" s="11" t="s">
        <v>3220</v>
      </c>
      <c r="K182" s="7" t="s">
        <v>3387</v>
      </c>
      <c r="L182" s="7" t="s">
        <v>3368</v>
      </c>
      <c r="M182" s="12" t="str">
        <f>HYPERLINK("http://slimages.macys.com/is/image/MCY/3875776 ")</f>
        <v xml:space="preserve">http://slimages.macys.com/is/image/MCY/3875776 </v>
      </c>
    </row>
    <row r="183" spans="1:13" ht="15.2" customHeight="1" x14ac:dyDescent="0.2">
      <c r="A183" s="6" t="s">
        <v>2283</v>
      </c>
      <c r="B183" s="7" t="s">
        <v>2284</v>
      </c>
      <c r="C183" s="8">
        <v>1</v>
      </c>
      <c r="D183" s="9">
        <v>6.15</v>
      </c>
      <c r="E183" s="9">
        <v>6.15</v>
      </c>
      <c r="F183" s="10">
        <v>14.99</v>
      </c>
      <c r="G183" s="9">
        <v>14.99</v>
      </c>
      <c r="H183" s="8" t="s">
        <v>3450</v>
      </c>
      <c r="I183" s="7" t="s">
        <v>3333</v>
      </c>
      <c r="J183" s="11" t="s">
        <v>3186</v>
      </c>
      <c r="K183" s="7" t="s">
        <v>3300</v>
      </c>
      <c r="L183" s="7" t="s">
        <v>3301</v>
      </c>
      <c r="M183" s="12" t="str">
        <f>HYPERLINK("http://slimages.macys.com/is/image/MCY/3899765 ")</f>
        <v xml:space="preserve">http://slimages.macys.com/is/image/MCY/3899765 </v>
      </c>
    </row>
    <row r="184" spans="1:13" ht="15.2" customHeight="1" x14ac:dyDescent="0.2">
      <c r="A184" s="6" t="s">
        <v>2285</v>
      </c>
      <c r="B184" s="7" t="s">
        <v>2286</v>
      </c>
      <c r="C184" s="8">
        <v>1</v>
      </c>
      <c r="D184" s="9">
        <v>6.15</v>
      </c>
      <c r="E184" s="9">
        <v>6.15</v>
      </c>
      <c r="F184" s="10">
        <v>14.99</v>
      </c>
      <c r="G184" s="9">
        <v>14.99</v>
      </c>
      <c r="H184" s="8" t="s">
        <v>3990</v>
      </c>
      <c r="I184" s="7" t="s">
        <v>3394</v>
      </c>
      <c r="J184" s="11" t="s">
        <v>3220</v>
      </c>
      <c r="K184" s="7" t="s">
        <v>3300</v>
      </c>
      <c r="L184" s="7" t="s">
        <v>3301</v>
      </c>
      <c r="M184" s="12" t="str">
        <f>HYPERLINK("http://slimages.macys.com/is/image/MCY/3857666 ")</f>
        <v xml:space="preserve">http://slimages.macys.com/is/image/MCY/3857666 </v>
      </c>
    </row>
    <row r="185" spans="1:13" ht="15.2" customHeight="1" x14ac:dyDescent="0.2">
      <c r="A185" s="6" t="s">
        <v>1318</v>
      </c>
      <c r="B185" s="7" t="s">
        <v>1319</v>
      </c>
      <c r="C185" s="8">
        <v>1</v>
      </c>
      <c r="D185" s="9">
        <v>6.1</v>
      </c>
      <c r="E185" s="9">
        <v>6.1</v>
      </c>
      <c r="F185" s="10">
        <v>15.99</v>
      </c>
      <c r="G185" s="9">
        <v>15.99</v>
      </c>
      <c r="H185" s="8" t="s">
        <v>3995</v>
      </c>
      <c r="I185" s="7" t="s">
        <v>3257</v>
      </c>
      <c r="J185" s="11" t="s">
        <v>3202</v>
      </c>
      <c r="K185" s="7" t="s">
        <v>3241</v>
      </c>
      <c r="L185" s="7" t="s">
        <v>3371</v>
      </c>
      <c r="M185" s="12" t="str">
        <f>HYPERLINK("http://slimages.macys.com/is/image/MCY/3947255 ")</f>
        <v xml:space="preserve">http://slimages.macys.com/is/image/MCY/3947255 </v>
      </c>
    </row>
    <row r="186" spans="1:13" ht="15.2" customHeight="1" x14ac:dyDescent="0.2">
      <c r="A186" s="6" t="s">
        <v>1320</v>
      </c>
      <c r="B186" s="7" t="s">
        <v>1321</v>
      </c>
      <c r="C186" s="8">
        <v>1</v>
      </c>
      <c r="D186" s="9">
        <v>6</v>
      </c>
      <c r="E186" s="9">
        <v>6</v>
      </c>
      <c r="F186" s="10">
        <v>12.99</v>
      </c>
      <c r="G186" s="9">
        <v>12.99</v>
      </c>
      <c r="H186" s="8" t="s">
        <v>1322</v>
      </c>
      <c r="I186" s="7" t="s">
        <v>3321</v>
      </c>
      <c r="J186" s="11" t="s">
        <v>3186</v>
      </c>
      <c r="K186" s="7" t="s">
        <v>3387</v>
      </c>
      <c r="L186" s="7" t="s">
        <v>3404</v>
      </c>
      <c r="M186" s="12" t="str">
        <f>HYPERLINK("http://slimages.macys.com/is/image/MCY/3947466 ")</f>
        <v xml:space="preserve">http://slimages.macys.com/is/image/MCY/3947466 </v>
      </c>
    </row>
    <row r="187" spans="1:13" ht="15.2" customHeight="1" x14ac:dyDescent="0.2">
      <c r="A187" s="6" t="s">
        <v>3455</v>
      </c>
      <c r="B187" s="7" t="s">
        <v>3456</v>
      </c>
      <c r="C187" s="8">
        <v>1</v>
      </c>
      <c r="D187" s="9">
        <v>6</v>
      </c>
      <c r="E187" s="9">
        <v>6</v>
      </c>
      <c r="F187" s="10">
        <v>12.99</v>
      </c>
      <c r="G187" s="9">
        <v>12.99</v>
      </c>
      <c r="H187" s="8" t="s">
        <v>3451</v>
      </c>
      <c r="I187" s="7" t="s">
        <v>3252</v>
      </c>
      <c r="J187" s="11" t="s">
        <v>3231</v>
      </c>
      <c r="K187" s="7" t="s">
        <v>3387</v>
      </c>
      <c r="L187" s="7" t="s">
        <v>3388</v>
      </c>
      <c r="M187" s="12" t="str">
        <f>HYPERLINK("http://slimages.macys.com/is/image/MCY/3910983 ")</f>
        <v xml:space="preserve">http://slimages.macys.com/is/image/MCY/3910983 </v>
      </c>
    </row>
    <row r="188" spans="1:13" ht="15.2" customHeight="1" x14ac:dyDescent="0.2">
      <c r="A188" s="6" t="s">
        <v>1323</v>
      </c>
      <c r="B188" s="7" t="s">
        <v>1324</v>
      </c>
      <c r="C188" s="8">
        <v>1</v>
      </c>
      <c r="D188" s="9">
        <v>6</v>
      </c>
      <c r="E188" s="9">
        <v>6</v>
      </c>
      <c r="F188" s="10">
        <v>12.99</v>
      </c>
      <c r="G188" s="9">
        <v>12.99</v>
      </c>
      <c r="H188" s="8" t="s">
        <v>1325</v>
      </c>
      <c r="I188" s="7" t="s">
        <v>3286</v>
      </c>
      <c r="J188" s="11" t="s">
        <v>3186</v>
      </c>
      <c r="K188" s="7" t="s">
        <v>3387</v>
      </c>
      <c r="L188" s="7" t="s">
        <v>3388</v>
      </c>
      <c r="M188" s="12" t="str">
        <f>HYPERLINK("http://slimages.macys.com/is/image/MCY/3924232 ")</f>
        <v xml:space="preserve">http://slimages.macys.com/is/image/MCY/3924232 </v>
      </c>
    </row>
    <row r="189" spans="1:13" ht="15.2" customHeight="1" x14ac:dyDescent="0.2">
      <c r="A189" s="6" t="s">
        <v>3453</v>
      </c>
      <c r="B189" s="7" t="s">
        <v>3454</v>
      </c>
      <c r="C189" s="8">
        <v>1</v>
      </c>
      <c r="D189" s="9">
        <v>6</v>
      </c>
      <c r="E189" s="9">
        <v>6</v>
      </c>
      <c r="F189" s="10">
        <v>12.99</v>
      </c>
      <c r="G189" s="9">
        <v>12.99</v>
      </c>
      <c r="H189" s="8" t="s">
        <v>3451</v>
      </c>
      <c r="I189" s="7" t="s">
        <v>3252</v>
      </c>
      <c r="J189" s="11" t="s">
        <v>3186</v>
      </c>
      <c r="K189" s="7" t="s">
        <v>3387</v>
      </c>
      <c r="L189" s="7" t="s">
        <v>3388</v>
      </c>
      <c r="M189" s="12" t="str">
        <f>HYPERLINK("http://slimages.macys.com/is/image/MCY/3910983 ")</f>
        <v xml:space="preserve">http://slimages.macys.com/is/image/MCY/3910983 </v>
      </c>
    </row>
    <row r="190" spans="1:13" ht="15.2" customHeight="1" x14ac:dyDescent="0.2">
      <c r="A190" s="6" t="s">
        <v>1326</v>
      </c>
      <c r="B190" s="7" t="s">
        <v>1327</v>
      </c>
      <c r="C190" s="8">
        <v>1</v>
      </c>
      <c r="D190" s="9">
        <v>6</v>
      </c>
      <c r="E190" s="9">
        <v>6</v>
      </c>
      <c r="F190" s="10">
        <v>12.99</v>
      </c>
      <c r="G190" s="9">
        <v>12.99</v>
      </c>
      <c r="H190" s="8" t="s">
        <v>1325</v>
      </c>
      <c r="I190" s="7" t="s">
        <v>3286</v>
      </c>
      <c r="J190" s="11" t="s">
        <v>3231</v>
      </c>
      <c r="K190" s="7" t="s">
        <v>3387</v>
      </c>
      <c r="L190" s="7" t="s">
        <v>3388</v>
      </c>
      <c r="M190" s="12" t="str">
        <f>HYPERLINK("http://slimages.macys.com/is/image/MCY/3924232 ")</f>
        <v xml:space="preserve">http://slimages.macys.com/is/image/MCY/3924232 </v>
      </c>
    </row>
    <row r="191" spans="1:13" ht="15.2" customHeight="1" x14ac:dyDescent="0.2">
      <c r="A191" s="6" t="s">
        <v>1328</v>
      </c>
      <c r="B191" s="7" t="s">
        <v>1329</v>
      </c>
      <c r="C191" s="8">
        <v>1</v>
      </c>
      <c r="D191" s="9">
        <v>6</v>
      </c>
      <c r="E191" s="9">
        <v>6</v>
      </c>
      <c r="F191" s="10">
        <v>12.99</v>
      </c>
      <c r="G191" s="9">
        <v>12.99</v>
      </c>
      <c r="H191" s="8" t="s">
        <v>1330</v>
      </c>
      <c r="I191" s="7" t="s">
        <v>3210</v>
      </c>
      <c r="J191" s="11" t="s">
        <v>3186</v>
      </c>
      <c r="K191" s="7" t="s">
        <v>3387</v>
      </c>
      <c r="L191" s="7" t="s">
        <v>3404</v>
      </c>
      <c r="M191" s="12" t="str">
        <f>HYPERLINK("http://slimages.macys.com/is/image/MCY/3947462 ")</f>
        <v xml:space="preserve">http://slimages.macys.com/is/image/MCY/3947462 </v>
      </c>
    </row>
    <row r="192" spans="1:13" ht="15.2" customHeight="1" x14ac:dyDescent="0.2">
      <c r="A192" s="6" t="s">
        <v>1331</v>
      </c>
      <c r="B192" s="7" t="s">
        <v>1332</v>
      </c>
      <c r="C192" s="8">
        <v>1</v>
      </c>
      <c r="D192" s="9">
        <v>5.95</v>
      </c>
      <c r="E192" s="9">
        <v>5.95</v>
      </c>
      <c r="F192" s="10">
        <v>12.99</v>
      </c>
      <c r="G192" s="9">
        <v>12.99</v>
      </c>
      <c r="H192" s="8" t="s">
        <v>3463</v>
      </c>
      <c r="I192" s="7" t="s">
        <v>3252</v>
      </c>
      <c r="J192" s="11" t="s">
        <v>3220</v>
      </c>
      <c r="K192" s="7" t="s">
        <v>3387</v>
      </c>
      <c r="L192" s="7" t="s">
        <v>3429</v>
      </c>
      <c r="M192" s="12" t="str">
        <f>HYPERLINK("http://slimages.macys.com/is/image/MCY/3773962 ")</f>
        <v xml:space="preserve">http://slimages.macys.com/is/image/MCY/3773962 </v>
      </c>
    </row>
    <row r="193" spans="1:13" ht="15.2" customHeight="1" x14ac:dyDescent="0.2">
      <c r="A193" s="6" t="s">
        <v>1333</v>
      </c>
      <c r="B193" s="7" t="s">
        <v>1334</v>
      </c>
      <c r="C193" s="8">
        <v>1</v>
      </c>
      <c r="D193" s="9">
        <v>5.95</v>
      </c>
      <c r="E193" s="9">
        <v>5.95</v>
      </c>
      <c r="F193" s="10">
        <v>12.99</v>
      </c>
      <c r="G193" s="9">
        <v>12.99</v>
      </c>
      <c r="H193" s="8" t="s">
        <v>1335</v>
      </c>
      <c r="I193" s="7" t="s">
        <v>3386</v>
      </c>
      <c r="J193" s="11" t="s">
        <v>3231</v>
      </c>
      <c r="K193" s="7" t="s">
        <v>3387</v>
      </c>
      <c r="L193" s="7" t="s">
        <v>3429</v>
      </c>
      <c r="M193" s="12" t="str">
        <f>HYPERLINK("http://slimages.macys.com/is/image/MCY/3947148 ")</f>
        <v xml:space="preserve">http://slimages.macys.com/is/image/MCY/3947148 </v>
      </c>
    </row>
    <row r="194" spans="1:13" ht="15.2" customHeight="1" x14ac:dyDescent="0.2">
      <c r="A194" s="6" t="s">
        <v>1336</v>
      </c>
      <c r="B194" s="7" t="s">
        <v>1337</v>
      </c>
      <c r="C194" s="8">
        <v>1</v>
      </c>
      <c r="D194" s="9">
        <v>5.95</v>
      </c>
      <c r="E194" s="9">
        <v>5.95</v>
      </c>
      <c r="F194" s="10">
        <v>12.99</v>
      </c>
      <c r="G194" s="9">
        <v>12.99</v>
      </c>
      <c r="H194" s="8" t="s">
        <v>2426</v>
      </c>
      <c r="I194" s="7" t="s">
        <v>3428</v>
      </c>
      <c r="J194" s="11" t="s">
        <v>3186</v>
      </c>
      <c r="K194" s="7" t="s">
        <v>3387</v>
      </c>
      <c r="L194" s="7" t="s">
        <v>3429</v>
      </c>
      <c r="M194" s="12" t="str">
        <f>HYPERLINK("http://slimages.macys.com/is/image/MCY/3773354 ")</f>
        <v xml:space="preserve">http://slimages.macys.com/is/image/MCY/3773354 </v>
      </c>
    </row>
    <row r="195" spans="1:13" ht="15.2" customHeight="1" x14ac:dyDescent="0.2">
      <c r="A195" s="6" t="s">
        <v>3464</v>
      </c>
      <c r="B195" s="7" t="s">
        <v>3465</v>
      </c>
      <c r="C195" s="8">
        <v>1</v>
      </c>
      <c r="D195" s="9">
        <v>5.75</v>
      </c>
      <c r="E195" s="9">
        <v>5.75</v>
      </c>
      <c r="F195" s="10">
        <v>12.99</v>
      </c>
      <c r="G195" s="9">
        <v>12.99</v>
      </c>
      <c r="H195" s="8" t="s">
        <v>3466</v>
      </c>
      <c r="I195" s="7" t="s">
        <v>3252</v>
      </c>
      <c r="J195" s="11" t="s">
        <v>3231</v>
      </c>
      <c r="K195" s="7" t="s">
        <v>3387</v>
      </c>
      <c r="L195" s="7" t="s">
        <v>3388</v>
      </c>
      <c r="M195" s="12" t="str">
        <f>HYPERLINK("http://slimages.macys.com/is/image/MCY/3773484 ")</f>
        <v xml:space="preserve">http://slimages.macys.com/is/image/MCY/3773484 </v>
      </c>
    </row>
    <row r="196" spans="1:13" ht="15.2" customHeight="1" x14ac:dyDescent="0.2">
      <c r="A196" s="6" t="s">
        <v>3739</v>
      </c>
      <c r="B196" s="7" t="s">
        <v>3740</v>
      </c>
      <c r="C196" s="8">
        <v>1</v>
      </c>
      <c r="D196" s="9">
        <v>5.75</v>
      </c>
      <c r="E196" s="9">
        <v>5.75</v>
      </c>
      <c r="F196" s="10">
        <v>12.99</v>
      </c>
      <c r="G196" s="9">
        <v>12.99</v>
      </c>
      <c r="H196" s="8" t="s">
        <v>3466</v>
      </c>
      <c r="I196" s="7" t="s">
        <v>3252</v>
      </c>
      <c r="J196" s="11" t="s">
        <v>3220</v>
      </c>
      <c r="K196" s="7" t="s">
        <v>3387</v>
      </c>
      <c r="L196" s="7" t="s">
        <v>3388</v>
      </c>
      <c r="M196" s="12" t="str">
        <f>HYPERLINK("http://slimages.macys.com/is/image/MCY/3773484 ")</f>
        <v xml:space="preserve">http://slimages.macys.com/is/image/MCY/3773484 </v>
      </c>
    </row>
    <row r="197" spans="1:13" ht="15.2" customHeight="1" x14ac:dyDescent="0.2">
      <c r="A197" s="6" t="s">
        <v>1338</v>
      </c>
      <c r="B197" s="7" t="s">
        <v>1339</v>
      </c>
      <c r="C197" s="8">
        <v>1</v>
      </c>
      <c r="D197" s="9">
        <v>5.75</v>
      </c>
      <c r="E197" s="9">
        <v>5.75</v>
      </c>
      <c r="F197" s="10">
        <v>14.5</v>
      </c>
      <c r="G197" s="9">
        <v>14.5</v>
      </c>
      <c r="H197" s="8" t="s">
        <v>3741</v>
      </c>
      <c r="I197" s="7" t="s">
        <v>3185</v>
      </c>
      <c r="J197" s="11" t="s">
        <v>3231</v>
      </c>
      <c r="K197" s="7" t="s">
        <v>3241</v>
      </c>
      <c r="L197" s="7" t="s">
        <v>3427</v>
      </c>
      <c r="M197" s="12" t="str">
        <f>HYPERLINK("http://slimages.macys.com/is/image/MCY/3938464 ")</f>
        <v xml:space="preserve">http://slimages.macys.com/is/image/MCY/3938464 </v>
      </c>
    </row>
    <row r="198" spans="1:13" ht="15.2" customHeight="1" x14ac:dyDescent="0.2">
      <c r="A198" s="6" t="s">
        <v>4325</v>
      </c>
      <c r="B198" s="7" t="s">
        <v>4326</v>
      </c>
      <c r="C198" s="8">
        <v>1</v>
      </c>
      <c r="D198" s="9">
        <v>5.75</v>
      </c>
      <c r="E198" s="9">
        <v>5.75</v>
      </c>
      <c r="F198" s="10">
        <v>12.99</v>
      </c>
      <c r="G198" s="9">
        <v>12.99</v>
      </c>
      <c r="H198" s="8" t="s">
        <v>3466</v>
      </c>
      <c r="I198" s="7" t="s">
        <v>3252</v>
      </c>
      <c r="J198" s="11" t="s">
        <v>3186</v>
      </c>
      <c r="K198" s="7" t="s">
        <v>3387</v>
      </c>
      <c r="L198" s="7" t="s">
        <v>3388</v>
      </c>
      <c r="M198" s="12" t="str">
        <f>HYPERLINK("http://slimages.macys.com/is/image/MCY/3773484 ")</f>
        <v xml:space="preserve">http://slimages.macys.com/is/image/MCY/3773484 </v>
      </c>
    </row>
    <row r="199" spans="1:13" ht="15.2" customHeight="1" x14ac:dyDescent="0.2">
      <c r="A199" s="6" t="s">
        <v>1340</v>
      </c>
      <c r="B199" s="7" t="s">
        <v>1341</v>
      </c>
      <c r="C199" s="8">
        <v>1</v>
      </c>
      <c r="D199" s="9">
        <v>5.5</v>
      </c>
      <c r="E199" s="9">
        <v>5.5</v>
      </c>
      <c r="F199" s="10">
        <v>16.989999999999998</v>
      </c>
      <c r="G199" s="9">
        <v>16.989999999999998</v>
      </c>
      <c r="H199" s="8" t="s">
        <v>3469</v>
      </c>
      <c r="I199" s="7" t="s">
        <v>3214</v>
      </c>
      <c r="J199" s="11" t="s">
        <v>3220</v>
      </c>
      <c r="K199" s="7" t="s">
        <v>3387</v>
      </c>
      <c r="L199" s="7" t="s">
        <v>3442</v>
      </c>
      <c r="M199" s="12" t="str">
        <f>HYPERLINK("http://slimages.macys.com/is/image/MCY/3953468 ")</f>
        <v xml:space="preserve">http://slimages.macys.com/is/image/MCY/3953468 </v>
      </c>
    </row>
    <row r="200" spans="1:13" ht="15.2" customHeight="1" x14ac:dyDescent="0.2">
      <c r="A200" s="6" t="s">
        <v>1342</v>
      </c>
      <c r="B200" s="7" t="s">
        <v>1343</v>
      </c>
      <c r="C200" s="8">
        <v>1</v>
      </c>
      <c r="D200" s="9">
        <v>5.5</v>
      </c>
      <c r="E200" s="9">
        <v>5.5</v>
      </c>
      <c r="F200" s="10">
        <v>12.99</v>
      </c>
      <c r="G200" s="9">
        <v>12.99</v>
      </c>
      <c r="H200" s="8" t="s">
        <v>3476</v>
      </c>
      <c r="I200" s="7" t="s">
        <v>3214</v>
      </c>
      <c r="J200" s="11" t="s">
        <v>3231</v>
      </c>
      <c r="K200" s="7" t="s">
        <v>3387</v>
      </c>
      <c r="L200" s="7" t="s">
        <v>3404</v>
      </c>
      <c r="M200" s="12" t="str">
        <f>HYPERLINK("http://slimages.macys.com/is/image/MCY/3875995 ")</f>
        <v xml:space="preserve">http://slimages.macys.com/is/image/MCY/3875995 </v>
      </c>
    </row>
    <row r="201" spans="1:13" ht="15.2" customHeight="1" x14ac:dyDescent="0.2">
      <c r="A201" s="6" t="s">
        <v>1344</v>
      </c>
      <c r="B201" s="7" t="s">
        <v>1345</v>
      </c>
      <c r="C201" s="8">
        <v>1</v>
      </c>
      <c r="D201" s="9">
        <v>5.5</v>
      </c>
      <c r="E201" s="9">
        <v>5.5</v>
      </c>
      <c r="F201" s="10">
        <v>16.989999999999998</v>
      </c>
      <c r="G201" s="9">
        <v>16.989999999999998</v>
      </c>
      <c r="H201" s="8" t="s">
        <v>3469</v>
      </c>
      <c r="I201" s="7" t="s">
        <v>3252</v>
      </c>
      <c r="J201" s="11" t="s">
        <v>3202</v>
      </c>
      <c r="K201" s="7" t="s">
        <v>3387</v>
      </c>
      <c r="L201" s="7" t="s">
        <v>3442</v>
      </c>
      <c r="M201" s="12" t="str">
        <f>HYPERLINK("http://slimages.macys.com/is/image/MCY/3953466 ")</f>
        <v xml:space="preserve">http://slimages.macys.com/is/image/MCY/3953466 </v>
      </c>
    </row>
    <row r="202" spans="1:13" ht="15.2" customHeight="1" x14ac:dyDescent="0.2">
      <c r="A202" s="6" t="s">
        <v>3749</v>
      </c>
      <c r="B202" s="7" t="s">
        <v>3750</v>
      </c>
      <c r="C202" s="8">
        <v>2</v>
      </c>
      <c r="D202" s="9">
        <v>5.5</v>
      </c>
      <c r="E202" s="9">
        <v>11</v>
      </c>
      <c r="F202" s="10">
        <v>16.989999999999998</v>
      </c>
      <c r="G202" s="9">
        <v>33.979999999999997</v>
      </c>
      <c r="H202" s="8" t="s">
        <v>3469</v>
      </c>
      <c r="I202" s="7" t="s">
        <v>3252</v>
      </c>
      <c r="J202" s="11" t="s">
        <v>3186</v>
      </c>
      <c r="K202" s="7" t="s">
        <v>3387</v>
      </c>
      <c r="L202" s="7" t="s">
        <v>3442</v>
      </c>
      <c r="M202" s="12" t="str">
        <f>HYPERLINK("http://slimages.macys.com/is/image/MCY/3953466 ")</f>
        <v xml:space="preserve">http://slimages.macys.com/is/image/MCY/3953466 </v>
      </c>
    </row>
    <row r="203" spans="1:13" ht="15.2" customHeight="1" x14ac:dyDescent="0.2">
      <c r="A203" s="6" t="s">
        <v>1346</v>
      </c>
      <c r="B203" s="7" t="s">
        <v>1347</v>
      </c>
      <c r="C203" s="8">
        <v>1</v>
      </c>
      <c r="D203" s="9">
        <v>5.5</v>
      </c>
      <c r="E203" s="9">
        <v>5.5</v>
      </c>
      <c r="F203" s="10">
        <v>16.989999999999998</v>
      </c>
      <c r="G203" s="9">
        <v>16.989999999999998</v>
      </c>
      <c r="H203" s="8" t="s">
        <v>3469</v>
      </c>
      <c r="I203" s="7" t="s">
        <v>3252</v>
      </c>
      <c r="J203" s="11" t="s">
        <v>3220</v>
      </c>
      <c r="K203" s="7" t="s">
        <v>3387</v>
      </c>
      <c r="L203" s="7" t="s">
        <v>3442</v>
      </c>
      <c r="M203" s="12" t="str">
        <f>HYPERLINK("http://slimages.macys.com/is/image/MCY/3953466 ")</f>
        <v xml:space="preserve">http://slimages.macys.com/is/image/MCY/3953466 </v>
      </c>
    </row>
    <row r="204" spans="1:13" ht="15.2" customHeight="1" x14ac:dyDescent="0.2">
      <c r="A204" s="6" t="s">
        <v>3743</v>
      </c>
      <c r="B204" s="7" t="s">
        <v>3744</v>
      </c>
      <c r="C204" s="8">
        <v>1</v>
      </c>
      <c r="D204" s="9">
        <v>5.5</v>
      </c>
      <c r="E204" s="9">
        <v>5.5</v>
      </c>
      <c r="F204" s="10">
        <v>16.989999999999998</v>
      </c>
      <c r="G204" s="9">
        <v>16.989999999999998</v>
      </c>
      <c r="H204" s="8" t="s">
        <v>3469</v>
      </c>
      <c r="I204" s="7" t="s">
        <v>3214</v>
      </c>
      <c r="J204" s="11" t="s">
        <v>3202</v>
      </c>
      <c r="K204" s="7" t="s">
        <v>3387</v>
      </c>
      <c r="L204" s="7" t="s">
        <v>3442</v>
      </c>
      <c r="M204" s="12" t="str">
        <f>HYPERLINK("http://slimages.macys.com/is/image/MCY/3890955 ")</f>
        <v xml:space="preserve">http://slimages.macys.com/is/image/MCY/3890955 </v>
      </c>
    </row>
    <row r="205" spans="1:13" ht="15.2" customHeight="1" x14ac:dyDescent="0.2">
      <c r="A205" s="6" t="s">
        <v>1348</v>
      </c>
      <c r="B205" s="7" t="s">
        <v>1349</v>
      </c>
      <c r="C205" s="8">
        <v>1</v>
      </c>
      <c r="D205" s="9">
        <v>5.5</v>
      </c>
      <c r="E205" s="9">
        <v>5.5</v>
      </c>
      <c r="F205" s="10">
        <v>12.99</v>
      </c>
      <c r="G205" s="9">
        <v>12.99</v>
      </c>
      <c r="H205" s="8" t="s">
        <v>3476</v>
      </c>
      <c r="I205" s="7" t="s">
        <v>3214</v>
      </c>
      <c r="J205" s="11" t="s">
        <v>3186</v>
      </c>
      <c r="K205" s="7" t="s">
        <v>3387</v>
      </c>
      <c r="L205" s="7" t="s">
        <v>3404</v>
      </c>
      <c r="M205" s="12" t="str">
        <f>HYPERLINK("http://slimages.macys.com/is/image/MCY/3875995 ")</f>
        <v xml:space="preserve">http://slimages.macys.com/is/image/MCY/3875995 </v>
      </c>
    </row>
    <row r="206" spans="1:13" ht="15.2" customHeight="1" x14ac:dyDescent="0.2">
      <c r="A206" s="6" t="s">
        <v>3747</v>
      </c>
      <c r="B206" s="7" t="s">
        <v>3748</v>
      </c>
      <c r="C206" s="8">
        <v>1</v>
      </c>
      <c r="D206" s="9">
        <v>5.5</v>
      </c>
      <c r="E206" s="9">
        <v>5.5</v>
      </c>
      <c r="F206" s="10">
        <v>16.989999999999998</v>
      </c>
      <c r="G206" s="9">
        <v>16.989999999999998</v>
      </c>
      <c r="H206" s="8" t="s">
        <v>3469</v>
      </c>
      <c r="I206" s="7" t="s">
        <v>3437</v>
      </c>
      <c r="J206" s="11" t="s">
        <v>3231</v>
      </c>
      <c r="K206" s="7" t="s">
        <v>3387</v>
      </c>
      <c r="L206" s="7" t="s">
        <v>3442</v>
      </c>
      <c r="M206" s="12" t="str">
        <f>HYPERLINK("http://slimages.macys.com/is/image/MCY/3953470 ")</f>
        <v xml:space="preserve">http://slimages.macys.com/is/image/MCY/3953470 </v>
      </c>
    </row>
    <row r="207" spans="1:13" ht="15.2" customHeight="1" x14ac:dyDescent="0.2">
      <c r="A207" s="6" t="s">
        <v>1350</v>
      </c>
      <c r="B207" s="7" t="s">
        <v>1351</v>
      </c>
      <c r="C207" s="8">
        <v>5</v>
      </c>
      <c r="D207" s="9">
        <v>5.5</v>
      </c>
      <c r="E207" s="9">
        <v>27.5</v>
      </c>
      <c r="F207" s="10">
        <v>16.989999999999998</v>
      </c>
      <c r="G207" s="9">
        <v>84.95</v>
      </c>
      <c r="H207" s="8" t="s">
        <v>3469</v>
      </c>
      <c r="I207" s="7" t="s">
        <v>3214</v>
      </c>
      <c r="J207" s="11" t="s">
        <v>3186</v>
      </c>
      <c r="K207" s="7" t="s">
        <v>3387</v>
      </c>
      <c r="L207" s="7" t="s">
        <v>3442</v>
      </c>
      <c r="M207" s="12" t="str">
        <f>HYPERLINK("http://slimages.macys.com/is/image/MCY/3890944 ")</f>
        <v xml:space="preserve">http://slimages.macys.com/is/image/MCY/3890944 </v>
      </c>
    </row>
    <row r="208" spans="1:13" ht="15.2" customHeight="1" x14ac:dyDescent="0.2">
      <c r="A208" s="6" t="s">
        <v>3745</v>
      </c>
      <c r="B208" s="7" t="s">
        <v>3746</v>
      </c>
      <c r="C208" s="8">
        <v>1</v>
      </c>
      <c r="D208" s="9">
        <v>5.5</v>
      </c>
      <c r="E208" s="9">
        <v>5.5</v>
      </c>
      <c r="F208" s="10">
        <v>16.989999999999998</v>
      </c>
      <c r="G208" s="9">
        <v>16.989999999999998</v>
      </c>
      <c r="H208" s="8" t="s">
        <v>3469</v>
      </c>
      <c r="I208" s="7" t="s">
        <v>3235</v>
      </c>
      <c r="J208" s="11" t="s">
        <v>3220</v>
      </c>
      <c r="K208" s="7" t="s">
        <v>3387</v>
      </c>
      <c r="L208" s="7" t="s">
        <v>3442</v>
      </c>
      <c r="M208" s="12" t="str">
        <f>HYPERLINK("http://slimages.macys.com/is/image/MCY/3953467 ")</f>
        <v xml:space="preserve">http://slimages.macys.com/is/image/MCY/3953467 </v>
      </c>
    </row>
    <row r="209" spans="1:13" ht="15.2" customHeight="1" x14ac:dyDescent="0.2">
      <c r="A209" s="6" t="s">
        <v>3478</v>
      </c>
      <c r="B209" s="7" t="s">
        <v>3479</v>
      </c>
      <c r="C209" s="8">
        <v>4</v>
      </c>
      <c r="D209" s="9">
        <v>5.5</v>
      </c>
      <c r="E209" s="9">
        <v>22</v>
      </c>
      <c r="F209" s="10">
        <v>16.989999999999998</v>
      </c>
      <c r="G209" s="9">
        <v>67.959999999999994</v>
      </c>
      <c r="H209" s="8" t="s">
        <v>3469</v>
      </c>
      <c r="I209" s="7" t="s">
        <v>3437</v>
      </c>
      <c r="J209" s="11" t="s">
        <v>3186</v>
      </c>
      <c r="K209" s="7" t="s">
        <v>3387</v>
      </c>
      <c r="L209" s="7" t="s">
        <v>3442</v>
      </c>
      <c r="M209" s="12" t="str">
        <f>HYPERLINK("http://slimages.macys.com/is/image/MCY/3953470 ")</f>
        <v xml:space="preserve">http://slimages.macys.com/is/image/MCY/3953470 </v>
      </c>
    </row>
    <row r="210" spans="1:13" ht="15.2" customHeight="1" x14ac:dyDescent="0.2">
      <c r="A210" s="6" t="s">
        <v>4134</v>
      </c>
      <c r="B210" s="7" t="s">
        <v>4135</v>
      </c>
      <c r="C210" s="8">
        <v>2</v>
      </c>
      <c r="D210" s="9">
        <v>5.5</v>
      </c>
      <c r="E210" s="9">
        <v>11</v>
      </c>
      <c r="F210" s="10">
        <v>16.989999999999998</v>
      </c>
      <c r="G210" s="9">
        <v>33.979999999999997</v>
      </c>
      <c r="H210" s="8" t="s">
        <v>3469</v>
      </c>
      <c r="I210" s="7" t="s">
        <v>3235</v>
      </c>
      <c r="J210" s="11" t="s">
        <v>3186</v>
      </c>
      <c r="K210" s="7" t="s">
        <v>3387</v>
      </c>
      <c r="L210" s="7" t="s">
        <v>3442</v>
      </c>
      <c r="M210" s="12" t="str">
        <f>HYPERLINK("http://slimages.macys.com/is/image/MCY/3953467 ")</f>
        <v xml:space="preserve">http://slimages.macys.com/is/image/MCY/3953467 </v>
      </c>
    </row>
    <row r="211" spans="1:13" ht="15.2" customHeight="1" x14ac:dyDescent="0.2">
      <c r="A211" s="6" t="s">
        <v>3997</v>
      </c>
      <c r="B211" s="7" t="s">
        <v>3998</v>
      </c>
      <c r="C211" s="8">
        <v>1</v>
      </c>
      <c r="D211" s="9">
        <v>5.5</v>
      </c>
      <c r="E211" s="9">
        <v>5.5</v>
      </c>
      <c r="F211" s="10">
        <v>16.989999999999998</v>
      </c>
      <c r="G211" s="9">
        <v>16.989999999999998</v>
      </c>
      <c r="H211" s="8" t="s">
        <v>3469</v>
      </c>
      <c r="I211" s="7" t="s">
        <v>3214</v>
      </c>
      <c r="J211" s="11" t="s">
        <v>3231</v>
      </c>
      <c r="K211" s="7" t="s">
        <v>3387</v>
      </c>
      <c r="L211" s="7" t="s">
        <v>3442</v>
      </c>
      <c r="M211" s="12" t="str">
        <f>HYPERLINK("http://slimages.macys.com/is/image/MCY/3890944 ")</f>
        <v xml:space="preserve">http://slimages.macys.com/is/image/MCY/3890944 </v>
      </c>
    </row>
    <row r="212" spans="1:13" ht="15.2" customHeight="1" x14ac:dyDescent="0.2">
      <c r="A212" s="6" t="s">
        <v>3470</v>
      </c>
      <c r="B212" s="7" t="s">
        <v>3471</v>
      </c>
      <c r="C212" s="8">
        <v>2</v>
      </c>
      <c r="D212" s="9">
        <v>5.5</v>
      </c>
      <c r="E212" s="9">
        <v>11</v>
      </c>
      <c r="F212" s="10">
        <v>16.989999999999998</v>
      </c>
      <c r="G212" s="9">
        <v>33.979999999999997</v>
      </c>
      <c r="H212" s="8" t="s">
        <v>3469</v>
      </c>
      <c r="I212" s="7" t="s">
        <v>3437</v>
      </c>
      <c r="J212" s="11" t="s">
        <v>3202</v>
      </c>
      <c r="K212" s="7" t="s">
        <v>3387</v>
      </c>
      <c r="L212" s="7" t="s">
        <v>3442</v>
      </c>
      <c r="M212" s="12" t="str">
        <f>HYPERLINK("http://slimages.macys.com/is/image/MCY/3953470 ")</f>
        <v xml:space="preserve">http://slimages.macys.com/is/image/MCY/3953470 </v>
      </c>
    </row>
    <row r="213" spans="1:13" ht="15.2" customHeight="1" x14ac:dyDescent="0.2">
      <c r="A213" s="6" t="s">
        <v>1352</v>
      </c>
      <c r="B213" s="7" t="s">
        <v>1353</v>
      </c>
      <c r="C213" s="8">
        <v>1</v>
      </c>
      <c r="D213" s="9">
        <v>5.46</v>
      </c>
      <c r="E213" s="9">
        <v>5.46</v>
      </c>
      <c r="F213" s="10">
        <v>12.99</v>
      </c>
      <c r="G213" s="9">
        <v>12.99</v>
      </c>
      <c r="H213" s="8" t="s">
        <v>3751</v>
      </c>
      <c r="I213" s="7" t="s">
        <v>3394</v>
      </c>
      <c r="J213" s="11" t="s">
        <v>3236</v>
      </c>
      <c r="K213" s="7" t="s">
        <v>3300</v>
      </c>
      <c r="L213" s="7" t="s">
        <v>3301</v>
      </c>
      <c r="M213" s="12" t="str">
        <f>HYPERLINK("http://slimages.macys.com/is/image/MCY/3857696 ")</f>
        <v xml:space="preserve">http://slimages.macys.com/is/image/MCY/3857696 </v>
      </c>
    </row>
    <row r="214" spans="1:13" ht="15.2" customHeight="1" x14ac:dyDescent="0.2">
      <c r="A214" s="6" t="s">
        <v>2427</v>
      </c>
      <c r="B214" s="7" t="s">
        <v>2428</v>
      </c>
      <c r="C214" s="8">
        <v>1</v>
      </c>
      <c r="D214" s="9">
        <v>5.46</v>
      </c>
      <c r="E214" s="9">
        <v>5.46</v>
      </c>
      <c r="F214" s="10">
        <v>12.99</v>
      </c>
      <c r="G214" s="9">
        <v>12.99</v>
      </c>
      <c r="H214" s="8" t="s">
        <v>3751</v>
      </c>
      <c r="I214" s="7" t="s">
        <v>3394</v>
      </c>
      <c r="J214" s="11" t="s">
        <v>3231</v>
      </c>
      <c r="K214" s="7" t="s">
        <v>3300</v>
      </c>
      <c r="L214" s="7" t="s">
        <v>3301</v>
      </c>
      <c r="M214" s="12" t="str">
        <f>HYPERLINK("http://slimages.macys.com/is/image/MCY/3857696 ")</f>
        <v xml:space="preserve">http://slimages.macys.com/is/image/MCY/3857696 </v>
      </c>
    </row>
    <row r="215" spans="1:13" ht="15.2" customHeight="1" x14ac:dyDescent="0.2">
      <c r="A215" s="6" t="s">
        <v>4327</v>
      </c>
      <c r="B215" s="7" t="s">
        <v>4328</v>
      </c>
      <c r="C215" s="8">
        <v>1</v>
      </c>
      <c r="D215" s="9">
        <v>5.46</v>
      </c>
      <c r="E215" s="9">
        <v>5.46</v>
      </c>
      <c r="F215" s="10">
        <v>12.99</v>
      </c>
      <c r="G215" s="9">
        <v>12.99</v>
      </c>
      <c r="H215" s="8" t="s">
        <v>3751</v>
      </c>
      <c r="I215" s="7" t="s">
        <v>3185</v>
      </c>
      <c r="J215" s="11" t="s">
        <v>3231</v>
      </c>
      <c r="K215" s="7" t="s">
        <v>3300</v>
      </c>
      <c r="L215" s="7" t="s">
        <v>3301</v>
      </c>
      <c r="M215" s="12" t="str">
        <f>HYPERLINK("http://slimages.macys.com/is/image/MCY/3857696 ")</f>
        <v xml:space="preserve">http://slimages.macys.com/is/image/MCY/3857696 </v>
      </c>
    </row>
    <row r="216" spans="1:13" ht="15.2" customHeight="1" x14ac:dyDescent="0.2">
      <c r="A216" s="6" t="s">
        <v>2431</v>
      </c>
      <c r="B216" s="7" t="s">
        <v>2432</v>
      </c>
      <c r="C216" s="8">
        <v>1</v>
      </c>
      <c r="D216" s="9">
        <v>5.45</v>
      </c>
      <c r="E216" s="9">
        <v>5.45</v>
      </c>
      <c r="F216" s="10">
        <v>12.99</v>
      </c>
      <c r="G216" s="9">
        <v>12.99</v>
      </c>
      <c r="H216" s="8" t="s">
        <v>2433</v>
      </c>
      <c r="I216" s="7" t="s">
        <v>3495</v>
      </c>
      <c r="J216" s="11" t="s">
        <v>3202</v>
      </c>
      <c r="K216" s="7" t="s">
        <v>3300</v>
      </c>
      <c r="L216" s="7" t="s">
        <v>3301</v>
      </c>
      <c r="M216" s="12" t="str">
        <f>HYPERLINK("http://slimages.macys.com/is/image/MCY/2717665 ")</f>
        <v xml:space="preserve">http://slimages.macys.com/is/image/MCY/2717665 </v>
      </c>
    </row>
    <row r="217" spans="1:13" ht="15.2" customHeight="1" x14ac:dyDescent="0.2">
      <c r="A217" s="6" t="s">
        <v>4139</v>
      </c>
      <c r="B217" s="7" t="s">
        <v>4140</v>
      </c>
      <c r="C217" s="8">
        <v>1</v>
      </c>
      <c r="D217" s="9">
        <v>4.67</v>
      </c>
      <c r="E217" s="9">
        <v>4.67</v>
      </c>
      <c r="F217" s="10">
        <v>12.99</v>
      </c>
      <c r="G217" s="9">
        <v>12.99</v>
      </c>
      <c r="H217" s="8" t="s">
        <v>4141</v>
      </c>
      <c r="I217" s="7" t="s">
        <v>3219</v>
      </c>
      <c r="J217" s="11" t="s">
        <v>3186</v>
      </c>
      <c r="K217" s="7" t="s">
        <v>3387</v>
      </c>
      <c r="L217" s="7" t="s">
        <v>3425</v>
      </c>
      <c r="M217" s="12" t="str">
        <f>HYPERLINK("http://slimages.macys.com/is/image/MCY/3875948 ")</f>
        <v xml:space="preserve">http://slimages.macys.com/is/image/MCY/3875948 </v>
      </c>
    </row>
    <row r="218" spans="1:13" ht="15.2" customHeight="1" x14ac:dyDescent="0.2">
      <c r="A218" s="6" t="s">
        <v>1354</v>
      </c>
      <c r="B218" s="7" t="s">
        <v>1355</v>
      </c>
      <c r="C218" s="8">
        <v>1</v>
      </c>
      <c r="D218" s="9">
        <v>4.67</v>
      </c>
      <c r="E218" s="9">
        <v>4.67</v>
      </c>
      <c r="F218" s="10">
        <v>12.99</v>
      </c>
      <c r="G218" s="9">
        <v>12.99</v>
      </c>
      <c r="H218" s="8" t="s">
        <v>2439</v>
      </c>
      <c r="I218" s="7" t="s">
        <v>3252</v>
      </c>
      <c r="J218" s="11" t="s">
        <v>3220</v>
      </c>
      <c r="K218" s="7" t="s">
        <v>3387</v>
      </c>
      <c r="L218" s="7" t="s">
        <v>3425</v>
      </c>
      <c r="M218" s="12" t="str">
        <f>HYPERLINK("http://slimages.macys.com/is/image/MCY/3890878 ")</f>
        <v xml:space="preserve">http://slimages.macys.com/is/image/MCY/3890878 </v>
      </c>
    </row>
    <row r="219" spans="1:13" ht="15.2" customHeight="1" x14ac:dyDescent="0.2">
      <c r="A219" s="6" t="s">
        <v>2437</v>
      </c>
      <c r="B219" s="7" t="s">
        <v>2438</v>
      </c>
      <c r="C219" s="8">
        <v>1</v>
      </c>
      <c r="D219" s="9">
        <v>4.67</v>
      </c>
      <c r="E219" s="9">
        <v>4.67</v>
      </c>
      <c r="F219" s="10">
        <v>12.99</v>
      </c>
      <c r="G219" s="9">
        <v>12.99</v>
      </c>
      <c r="H219" s="8" t="s">
        <v>2439</v>
      </c>
      <c r="I219" s="7" t="s">
        <v>3252</v>
      </c>
      <c r="J219" s="11" t="s">
        <v>3231</v>
      </c>
      <c r="K219" s="7" t="s">
        <v>3387</v>
      </c>
      <c r="L219" s="7" t="s">
        <v>3425</v>
      </c>
      <c r="M219" s="12" t="str">
        <f>HYPERLINK("http://slimages.macys.com/is/image/MCY/3890878 ")</f>
        <v xml:space="preserve">http://slimages.macys.com/is/image/MCY/3890878 </v>
      </c>
    </row>
    <row r="220" spans="1:13" ht="15.2" customHeight="1" x14ac:dyDescent="0.2">
      <c r="A220" s="6" t="s">
        <v>2434</v>
      </c>
      <c r="B220" s="7" t="s">
        <v>2435</v>
      </c>
      <c r="C220" s="8">
        <v>1</v>
      </c>
      <c r="D220" s="9">
        <v>4.67</v>
      </c>
      <c r="E220" s="9">
        <v>4.67</v>
      </c>
      <c r="F220" s="10">
        <v>12.99</v>
      </c>
      <c r="G220" s="9">
        <v>12.99</v>
      </c>
      <c r="H220" s="8" t="s">
        <v>2436</v>
      </c>
      <c r="I220" s="7" t="s">
        <v>3252</v>
      </c>
      <c r="J220" s="11" t="s">
        <v>3186</v>
      </c>
      <c r="K220" s="7" t="s">
        <v>3387</v>
      </c>
      <c r="L220" s="7" t="s">
        <v>3425</v>
      </c>
      <c r="M220" s="12" t="str">
        <f>HYPERLINK("http://slimages.macys.com/is/image/MCY/3890879 ")</f>
        <v xml:space="preserve">http://slimages.macys.com/is/image/MCY/3890879 </v>
      </c>
    </row>
    <row r="221" spans="1:13" ht="15.2" customHeight="1" x14ac:dyDescent="0.2">
      <c r="A221" s="6" t="s">
        <v>1356</v>
      </c>
      <c r="B221" s="7" t="s">
        <v>1357</v>
      </c>
      <c r="C221" s="8">
        <v>1</v>
      </c>
      <c r="D221" s="9">
        <v>4.67</v>
      </c>
      <c r="E221" s="9">
        <v>4.67</v>
      </c>
      <c r="F221" s="10">
        <v>12.99</v>
      </c>
      <c r="G221" s="9">
        <v>12.99</v>
      </c>
      <c r="H221" s="8" t="s">
        <v>4007</v>
      </c>
      <c r="I221" s="7" t="s">
        <v>3185</v>
      </c>
      <c r="J221" s="11" t="s">
        <v>3231</v>
      </c>
      <c r="K221" s="7" t="s">
        <v>3387</v>
      </c>
      <c r="L221" s="7" t="s">
        <v>3425</v>
      </c>
      <c r="M221" s="12" t="str">
        <f>HYPERLINK("http://slimages.macys.com/is/image/MCY/3875947 ")</f>
        <v xml:space="preserve">http://slimages.macys.com/is/image/MCY/3875947 </v>
      </c>
    </row>
    <row r="222" spans="1:13" ht="15.2" customHeight="1" x14ac:dyDescent="0.2">
      <c r="A222" s="6" t="s">
        <v>1358</v>
      </c>
      <c r="B222" s="7" t="s">
        <v>1359</v>
      </c>
      <c r="C222" s="8">
        <v>1</v>
      </c>
      <c r="D222" s="9">
        <v>4.67</v>
      </c>
      <c r="E222" s="9">
        <v>4.67</v>
      </c>
      <c r="F222" s="10">
        <v>12.99</v>
      </c>
      <c r="G222" s="9">
        <v>12.99</v>
      </c>
      <c r="H222" s="8" t="s">
        <v>2439</v>
      </c>
      <c r="I222" s="7" t="s">
        <v>3252</v>
      </c>
      <c r="J222" s="11" t="s">
        <v>3186</v>
      </c>
      <c r="K222" s="7" t="s">
        <v>3387</v>
      </c>
      <c r="L222" s="7" t="s">
        <v>3425</v>
      </c>
      <c r="M222" s="12" t="str">
        <f>HYPERLINK("http://slimages.macys.com/is/image/MCY/3890878 ")</f>
        <v xml:space="preserve">http://slimages.macys.com/is/image/MCY/3890878 </v>
      </c>
    </row>
    <row r="223" spans="1:13" ht="15.2" customHeight="1" x14ac:dyDescent="0.2">
      <c r="A223" s="6" t="s">
        <v>3482</v>
      </c>
      <c r="B223" s="7" t="s">
        <v>3483</v>
      </c>
      <c r="C223" s="8">
        <v>1</v>
      </c>
      <c r="D223" s="9">
        <v>4.6500000000000004</v>
      </c>
      <c r="E223" s="9">
        <v>4.6500000000000004</v>
      </c>
      <c r="F223" s="10">
        <v>10.99</v>
      </c>
      <c r="G223" s="9">
        <v>10.99</v>
      </c>
      <c r="H223" s="8">
        <v>60359814</v>
      </c>
      <c r="I223" s="7" t="s">
        <v>3185</v>
      </c>
      <c r="J223" s="11" t="s">
        <v>3202</v>
      </c>
      <c r="K223" s="7" t="s">
        <v>3387</v>
      </c>
      <c r="L223" s="7" t="s">
        <v>3368</v>
      </c>
      <c r="M223" s="12" t="str">
        <f>HYPERLINK("http://slimages.macys.com/is/image/MCY/2308508 ")</f>
        <v xml:space="preserve">http://slimages.macys.com/is/image/MCY/2308508 </v>
      </c>
    </row>
    <row r="224" spans="1:13" ht="15.2" customHeight="1" x14ac:dyDescent="0.2">
      <c r="A224" s="6" t="s">
        <v>1360</v>
      </c>
      <c r="B224" s="7" t="s">
        <v>1361</v>
      </c>
      <c r="C224" s="8">
        <v>1</v>
      </c>
      <c r="D224" s="9">
        <v>4.6500000000000004</v>
      </c>
      <c r="E224" s="9">
        <v>4.6500000000000004</v>
      </c>
      <c r="F224" s="10">
        <v>10.99</v>
      </c>
      <c r="G224" s="9">
        <v>10.99</v>
      </c>
      <c r="H224" s="8">
        <v>60359814</v>
      </c>
      <c r="I224" s="7" t="s">
        <v>3252</v>
      </c>
      <c r="J224" s="11" t="s">
        <v>3231</v>
      </c>
      <c r="K224" s="7" t="s">
        <v>3387</v>
      </c>
      <c r="L224" s="7" t="s">
        <v>3368</v>
      </c>
      <c r="M224" s="12" t="str">
        <f>HYPERLINK("http://slimages.macys.com/is/image/MCY/2308508 ")</f>
        <v xml:space="preserve">http://slimages.macys.com/is/image/MCY/2308508 </v>
      </c>
    </row>
    <row r="225" spans="1:13" ht="15.2" customHeight="1" x14ac:dyDescent="0.2">
      <c r="A225" s="6" t="s">
        <v>4008</v>
      </c>
      <c r="B225" s="7" t="s">
        <v>4009</v>
      </c>
      <c r="C225" s="8">
        <v>2</v>
      </c>
      <c r="D225" s="9">
        <v>4.5</v>
      </c>
      <c r="E225" s="9">
        <v>9</v>
      </c>
      <c r="F225" s="10">
        <v>10.99</v>
      </c>
      <c r="G225" s="9">
        <v>21.98</v>
      </c>
      <c r="H225" s="8">
        <v>60445055</v>
      </c>
      <c r="I225" s="7" t="s">
        <v>3246</v>
      </c>
      <c r="J225" s="11" t="s">
        <v>3186</v>
      </c>
      <c r="K225" s="7" t="s">
        <v>3387</v>
      </c>
      <c r="L225" s="7" t="s">
        <v>3368</v>
      </c>
      <c r="M225" s="12" t="str">
        <f>HYPERLINK("http://slimages.macys.com/is/image/MCY/3580367 ")</f>
        <v xml:space="preserve">http://slimages.macys.com/is/image/MCY/3580367 </v>
      </c>
    </row>
    <row r="226" spans="1:13" ht="15.2" customHeight="1" x14ac:dyDescent="0.2">
      <c r="A226" s="6" t="s">
        <v>1362</v>
      </c>
      <c r="B226" s="7" t="s">
        <v>1363</v>
      </c>
      <c r="C226" s="8">
        <v>1</v>
      </c>
      <c r="D226" s="9">
        <v>4.5</v>
      </c>
      <c r="E226" s="9">
        <v>4.5</v>
      </c>
      <c r="F226" s="10">
        <v>10.99</v>
      </c>
      <c r="G226" s="9">
        <v>10.99</v>
      </c>
      <c r="H226" s="8">
        <v>60445055</v>
      </c>
      <c r="I226" s="7" t="s">
        <v>3246</v>
      </c>
      <c r="J226" s="11" t="s">
        <v>3202</v>
      </c>
      <c r="K226" s="7" t="s">
        <v>3387</v>
      </c>
      <c r="L226" s="7" t="s">
        <v>3368</v>
      </c>
      <c r="M226" s="12" t="str">
        <f>HYPERLINK("http://slimages.macys.com/is/image/MCY/3580367 ")</f>
        <v xml:space="preserve">http://slimages.macys.com/is/image/MCY/3580367 </v>
      </c>
    </row>
    <row r="227" spans="1:13" ht="15.2" customHeight="1" x14ac:dyDescent="0.2">
      <c r="A227" s="6" t="s">
        <v>1364</v>
      </c>
      <c r="B227" s="7" t="s">
        <v>1365</v>
      </c>
      <c r="C227" s="8">
        <v>1</v>
      </c>
      <c r="D227" s="9">
        <v>4.3499999999999996</v>
      </c>
      <c r="E227" s="9">
        <v>4.3499999999999996</v>
      </c>
      <c r="F227" s="10">
        <v>13.99</v>
      </c>
      <c r="G227" s="9">
        <v>13.99</v>
      </c>
      <c r="H227" s="8" t="s">
        <v>3756</v>
      </c>
      <c r="I227" s="7" t="s">
        <v>3252</v>
      </c>
      <c r="J227" s="11" t="s">
        <v>3186</v>
      </c>
      <c r="K227" s="7" t="s">
        <v>3387</v>
      </c>
      <c r="L227" s="7" t="s">
        <v>3409</v>
      </c>
      <c r="M227" s="12" t="str">
        <f>HYPERLINK("http://slimages.macys.com/is/image/MCY/3931147 ")</f>
        <v xml:space="preserve">http://slimages.macys.com/is/image/MCY/3931147 </v>
      </c>
    </row>
    <row r="228" spans="1:13" ht="15.2" customHeight="1" x14ac:dyDescent="0.2">
      <c r="A228" s="6" t="s">
        <v>1366</v>
      </c>
      <c r="B228" s="7" t="s">
        <v>1367</v>
      </c>
      <c r="C228" s="8">
        <v>1</v>
      </c>
      <c r="D228" s="9">
        <v>3.75</v>
      </c>
      <c r="E228" s="9">
        <v>3.75</v>
      </c>
      <c r="F228" s="10">
        <v>7.99</v>
      </c>
      <c r="G228" s="9">
        <v>7.99</v>
      </c>
      <c r="H228" s="8">
        <v>60393788</v>
      </c>
      <c r="I228" s="7" t="s">
        <v>3383</v>
      </c>
      <c r="J228" s="11" t="s">
        <v>3202</v>
      </c>
      <c r="K228" s="7" t="s">
        <v>3387</v>
      </c>
      <c r="L228" s="7" t="s">
        <v>3368</v>
      </c>
      <c r="M228" s="12" t="str">
        <f>HYPERLINK("http://slimages.macys.com/is/image/MCY/3664384 ")</f>
        <v xml:space="preserve">http://slimages.macys.com/is/image/MCY/3664384 </v>
      </c>
    </row>
    <row r="229" spans="1:13" ht="15.2" customHeight="1" x14ac:dyDescent="0.2">
      <c r="A229" s="6" t="s">
        <v>4330</v>
      </c>
      <c r="B229" s="7" t="s">
        <v>4331</v>
      </c>
      <c r="C229" s="8">
        <v>2</v>
      </c>
      <c r="D229" s="9">
        <v>3.75</v>
      </c>
      <c r="E229" s="9">
        <v>7.5</v>
      </c>
      <c r="F229" s="10">
        <v>7.99</v>
      </c>
      <c r="G229" s="9">
        <v>15.98</v>
      </c>
      <c r="H229" s="8">
        <v>60393788</v>
      </c>
      <c r="I229" s="7" t="s">
        <v>3383</v>
      </c>
      <c r="J229" s="11" t="s">
        <v>3231</v>
      </c>
      <c r="K229" s="7" t="s">
        <v>3387</v>
      </c>
      <c r="L229" s="7" t="s">
        <v>3368</v>
      </c>
      <c r="M229" s="12" t="str">
        <f>HYPERLINK("http://slimages.macys.com/is/image/MCY/3664384 ")</f>
        <v xml:space="preserve">http://slimages.macys.com/is/image/MCY/3664384 </v>
      </c>
    </row>
    <row r="230" spans="1:13" ht="15.2" customHeight="1" x14ac:dyDescent="0.2">
      <c r="A230" s="6" t="s">
        <v>1368</v>
      </c>
      <c r="B230" s="7" t="s">
        <v>1369</v>
      </c>
      <c r="C230" s="8">
        <v>1</v>
      </c>
      <c r="D230" s="9">
        <v>3.75</v>
      </c>
      <c r="E230" s="9">
        <v>3.75</v>
      </c>
      <c r="F230" s="10">
        <v>7.99</v>
      </c>
      <c r="G230" s="9">
        <v>7.99</v>
      </c>
      <c r="H230" s="8">
        <v>60393788</v>
      </c>
      <c r="I230" s="7" t="s">
        <v>3234</v>
      </c>
      <c r="J230" s="11" t="s">
        <v>3202</v>
      </c>
      <c r="K230" s="7" t="s">
        <v>3387</v>
      </c>
      <c r="L230" s="7" t="s">
        <v>3368</v>
      </c>
      <c r="M230" s="12" t="str">
        <f>HYPERLINK("http://slimages.macys.com/is/image/MCY/3664384 ")</f>
        <v xml:space="preserve">http://slimages.macys.com/is/image/MCY/3664384 </v>
      </c>
    </row>
    <row r="231" spans="1:13" ht="15.2" customHeight="1" x14ac:dyDescent="0.2">
      <c r="A231" s="6" t="s">
        <v>4147</v>
      </c>
      <c r="B231" s="7" t="s">
        <v>4148</v>
      </c>
      <c r="C231" s="8">
        <v>1</v>
      </c>
      <c r="D231" s="9">
        <v>3.75</v>
      </c>
      <c r="E231" s="9">
        <v>3.75</v>
      </c>
      <c r="F231" s="10">
        <v>7.99</v>
      </c>
      <c r="G231" s="9">
        <v>7.99</v>
      </c>
      <c r="H231" s="8">
        <v>60393788</v>
      </c>
      <c r="I231" s="7" t="s">
        <v>3383</v>
      </c>
      <c r="J231" s="11" t="s">
        <v>3220</v>
      </c>
      <c r="K231" s="7" t="s">
        <v>3387</v>
      </c>
      <c r="L231" s="7" t="s">
        <v>3368</v>
      </c>
      <c r="M231" s="12" t="str">
        <f>HYPERLINK("http://slimages.macys.com/is/image/MCY/3664384 ")</f>
        <v xml:space="preserve">http://slimages.macys.com/is/image/MCY/3664384 </v>
      </c>
    </row>
    <row r="232" spans="1:13" ht="15.2" customHeight="1" x14ac:dyDescent="0.2">
      <c r="A232" s="6" t="s">
        <v>1370</v>
      </c>
      <c r="B232" s="7" t="s">
        <v>1371</v>
      </c>
      <c r="C232" s="8">
        <v>2</v>
      </c>
      <c r="D232" s="9">
        <v>3.72</v>
      </c>
      <c r="E232" s="9">
        <v>7.44</v>
      </c>
      <c r="F232" s="10">
        <v>7.99</v>
      </c>
      <c r="G232" s="9">
        <v>15.98</v>
      </c>
      <c r="H232" s="8" t="s">
        <v>3484</v>
      </c>
      <c r="I232" s="7" t="s">
        <v>3219</v>
      </c>
      <c r="J232" s="11" t="s">
        <v>3220</v>
      </c>
      <c r="K232" s="7" t="s">
        <v>3387</v>
      </c>
      <c r="L232" s="7" t="s">
        <v>3409</v>
      </c>
      <c r="M232" s="12" t="str">
        <f>HYPERLINK("http://slimages.macys.com/is/image/MCY/3609979 ")</f>
        <v xml:space="preserve">http://slimages.macys.com/is/image/MCY/3609979 </v>
      </c>
    </row>
    <row r="233" spans="1:13" ht="15.2" customHeight="1" x14ac:dyDescent="0.2">
      <c r="A233" s="6" t="s">
        <v>1372</v>
      </c>
      <c r="B233" s="7" t="s">
        <v>1373</v>
      </c>
      <c r="C233" s="8">
        <v>1</v>
      </c>
      <c r="D233" s="9">
        <v>3.72</v>
      </c>
      <c r="E233" s="9">
        <v>3.72</v>
      </c>
      <c r="F233" s="10">
        <v>7.99</v>
      </c>
      <c r="G233" s="9">
        <v>7.99</v>
      </c>
      <c r="H233" s="8" t="s">
        <v>3484</v>
      </c>
      <c r="I233" s="7" t="s">
        <v>3421</v>
      </c>
      <c r="J233" s="11" t="s">
        <v>3202</v>
      </c>
      <c r="K233" s="7" t="s">
        <v>3387</v>
      </c>
      <c r="L233" s="7" t="s">
        <v>3409</v>
      </c>
      <c r="M233" s="12" t="str">
        <f>HYPERLINK("http://slimages.macys.com/is/image/MCY/3609979 ")</f>
        <v xml:space="preserve">http://slimages.macys.com/is/image/MCY/3609979 </v>
      </c>
    </row>
    <row r="234" spans="1:13" ht="15.2" customHeight="1" x14ac:dyDescent="0.2">
      <c r="A234" s="6" t="s">
        <v>1374</v>
      </c>
      <c r="B234" s="7" t="s">
        <v>1375</v>
      </c>
      <c r="C234" s="8">
        <v>1</v>
      </c>
      <c r="D234" s="9">
        <v>3.72</v>
      </c>
      <c r="E234" s="9">
        <v>3.72</v>
      </c>
      <c r="F234" s="10">
        <v>7.99</v>
      </c>
      <c r="G234" s="9">
        <v>7.99</v>
      </c>
      <c r="H234" s="8" t="s">
        <v>3484</v>
      </c>
      <c r="I234" s="7" t="s">
        <v>3219</v>
      </c>
      <c r="J234" s="11" t="s">
        <v>3242</v>
      </c>
      <c r="K234" s="7" t="s">
        <v>3387</v>
      </c>
      <c r="L234" s="7" t="s">
        <v>3409</v>
      </c>
      <c r="M234" s="12" t="str">
        <f>HYPERLINK("http://slimages.macys.com/is/image/MCY/3609979 ")</f>
        <v xml:space="preserve">http://slimages.macys.com/is/image/MCY/3609979 </v>
      </c>
    </row>
    <row r="235" spans="1:13" ht="15.2" customHeight="1" x14ac:dyDescent="0.2">
      <c r="A235" s="6" t="s">
        <v>1376</v>
      </c>
      <c r="B235" s="7" t="s">
        <v>1377</v>
      </c>
      <c r="C235" s="8">
        <v>1</v>
      </c>
      <c r="D235" s="9">
        <v>37</v>
      </c>
      <c r="E235" s="9">
        <v>37</v>
      </c>
      <c r="F235" s="10">
        <v>98</v>
      </c>
      <c r="G235" s="9">
        <v>98</v>
      </c>
      <c r="H235" s="8" t="s">
        <v>4149</v>
      </c>
      <c r="I235" s="7" t="s">
        <v>3640</v>
      </c>
      <c r="J235" s="11" t="s">
        <v>3242</v>
      </c>
      <c r="K235" s="7" t="s">
        <v>3198</v>
      </c>
      <c r="L235" s="7" t="s">
        <v>3199</v>
      </c>
      <c r="M235" s="12"/>
    </row>
    <row r="236" spans="1:13" ht="15.2" customHeight="1" x14ac:dyDescent="0.2">
      <c r="A236" s="6" t="s">
        <v>1378</v>
      </c>
      <c r="B236" s="7" t="s">
        <v>1379</v>
      </c>
      <c r="C236" s="8">
        <v>1</v>
      </c>
      <c r="D236" s="9">
        <v>29.62</v>
      </c>
      <c r="E236" s="9">
        <v>29.62</v>
      </c>
      <c r="F236" s="10">
        <v>79</v>
      </c>
      <c r="G236" s="9">
        <v>79</v>
      </c>
      <c r="H236" s="8">
        <v>7066247</v>
      </c>
      <c r="I236" s="7" t="s">
        <v>3257</v>
      </c>
      <c r="J236" s="11" t="s">
        <v>3220</v>
      </c>
      <c r="K236" s="7" t="s">
        <v>3487</v>
      </c>
      <c r="L236" s="7" t="s">
        <v>3488</v>
      </c>
      <c r="M236" s="12"/>
    </row>
    <row r="237" spans="1:13" ht="15.2" customHeight="1" x14ac:dyDescent="0.2">
      <c r="A237" s="6" t="s">
        <v>1380</v>
      </c>
      <c r="B237" s="7" t="s">
        <v>1381</v>
      </c>
      <c r="C237" s="8">
        <v>1</v>
      </c>
      <c r="D237" s="9">
        <v>27</v>
      </c>
      <c r="E237" s="9">
        <v>27</v>
      </c>
      <c r="F237" s="10">
        <v>69.5</v>
      </c>
      <c r="G237" s="9">
        <v>69.5</v>
      </c>
      <c r="H237" s="8" t="s">
        <v>4151</v>
      </c>
      <c r="I237" s="7" t="s">
        <v>3495</v>
      </c>
      <c r="J237" s="11" t="s">
        <v>3231</v>
      </c>
      <c r="K237" s="7" t="s">
        <v>3198</v>
      </c>
      <c r="L237" s="7" t="s">
        <v>3199</v>
      </c>
      <c r="M237" s="12"/>
    </row>
    <row r="238" spans="1:13" ht="15.2" customHeight="1" x14ac:dyDescent="0.2">
      <c r="A238" s="6" t="s">
        <v>3491</v>
      </c>
      <c r="B238" s="7" t="s">
        <v>3492</v>
      </c>
      <c r="C238" s="8">
        <v>1</v>
      </c>
      <c r="D238" s="9">
        <v>25.36</v>
      </c>
      <c r="E238" s="9">
        <v>25.36</v>
      </c>
      <c r="F238" s="10">
        <v>69.5</v>
      </c>
      <c r="G238" s="9">
        <v>69.5</v>
      </c>
      <c r="H238" s="8" t="s">
        <v>3493</v>
      </c>
      <c r="I238" s="7" t="s">
        <v>3185</v>
      </c>
      <c r="J238" s="11" t="s">
        <v>3202</v>
      </c>
      <c r="K238" s="7" t="s">
        <v>3221</v>
      </c>
      <c r="L238" s="7" t="s">
        <v>3253</v>
      </c>
      <c r="M238" s="12"/>
    </row>
    <row r="239" spans="1:13" ht="15.2" customHeight="1" x14ac:dyDescent="0.2">
      <c r="A239" s="6" t="s">
        <v>2295</v>
      </c>
      <c r="B239" s="7" t="s">
        <v>2296</v>
      </c>
      <c r="C239" s="8">
        <v>1</v>
      </c>
      <c r="D239" s="9">
        <v>25.36</v>
      </c>
      <c r="E239" s="9">
        <v>25.36</v>
      </c>
      <c r="F239" s="10">
        <v>69.5</v>
      </c>
      <c r="G239" s="9">
        <v>69.5</v>
      </c>
      <c r="H239" s="8" t="s">
        <v>3493</v>
      </c>
      <c r="I239" s="7" t="s">
        <v>3185</v>
      </c>
      <c r="J239" s="11" t="s">
        <v>3186</v>
      </c>
      <c r="K239" s="7" t="s">
        <v>3221</v>
      </c>
      <c r="L239" s="7" t="s">
        <v>3253</v>
      </c>
      <c r="M239" s="12"/>
    </row>
    <row r="240" spans="1:13" ht="15.2" customHeight="1" x14ac:dyDescent="0.2">
      <c r="A240" s="6" t="s">
        <v>1382</v>
      </c>
      <c r="B240" s="7" t="s">
        <v>1383</v>
      </c>
      <c r="C240" s="8">
        <v>1</v>
      </c>
      <c r="D240" s="9">
        <v>24.51</v>
      </c>
      <c r="E240" s="9">
        <v>24.51</v>
      </c>
      <c r="F240" s="10">
        <v>69.5</v>
      </c>
      <c r="G240" s="9">
        <v>69.5</v>
      </c>
      <c r="H240" s="8" t="s">
        <v>3757</v>
      </c>
      <c r="I240" s="7" t="s">
        <v>3207</v>
      </c>
      <c r="J240" s="11"/>
      <c r="K240" s="7" t="s">
        <v>3193</v>
      </c>
      <c r="L240" s="7" t="s">
        <v>3194</v>
      </c>
      <c r="M240" s="12"/>
    </row>
    <row r="241" spans="1:13" ht="15.2" customHeight="1" x14ac:dyDescent="0.2">
      <c r="A241" s="6" t="s">
        <v>1384</v>
      </c>
      <c r="B241" s="7" t="s">
        <v>1385</v>
      </c>
      <c r="C241" s="8">
        <v>1</v>
      </c>
      <c r="D241" s="9">
        <v>24.51</v>
      </c>
      <c r="E241" s="9">
        <v>24.51</v>
      </c>
      <c r="F241" s="10">
        <v>69.5</v>
      </c>
      <c r="G241" s="9">
        <v>69.5</v>
      </c>
      <c r="H241" s="8" t="s">
        <v>3757</v>
      </c>
      <c r="I241" s="7" t="s">
        <v>3185</v>
      </c>
      <c r="J241" s="11"/>
      <c r="K241" s="7" t="s">
        <v>3193</v>
      </c>
      <c r="L241" s="7" t="s">
        <v>3194</v>
      </c>
      <c r="M241" s="12"/>
    </row>
    <row r="242" spans="1:13" ht="15.2" customHeight="1" x14ac:dyDescent="0.2">
      <c r="A242" s="6" t="s">
        <v>1386</v>
      </c>
      <c r="B242" s="7" t="s">
        <v>1387</v>
      </c>
      <c r="C242" s="8">
        <v>1</v>
      </c>
      <c r="D242" s="9">
        <v>23.8</v>
      </c>
      <c r="E242" s="9">
        <v>23.8</v>
      </c>
      <c r="F242" s="10">
        <v>59.5</v>
      </c>
      <c r="G242" s="9">
        <v>59.5</v>
      </c>
      <c r="H242" s="8" t="s">
        <v>1388</v>
      </c>
      <c r="I242" s="7" t="s">
        <v>3234</v>
      </c>
      <c r="J242" s="11" t="s">
        <v>3220</v>
      </c>
      <c r="K242" s="7" t="s">
        <v>3208</v>
      </c>
      <c r="L242" s="7" t="s">
        <v>3209</v>
      </c>
      <c r="M242" s="12"/>
    </row>
    <row r="243" spans="1:13" ht="15.2" customHeight="1" x14ac:dyDescent="0.2">
      <c r="A243" s="6" t="s">
        <v>1389</v>
      </c>
      <c r="B243" s="7" t="s">
        <v>1390</v>
      </c>
      <c r="C243" s="8">
        <v>1</v>
      </c>
      <c r="D243" s="9">
        <v>23.5</v>
      </c>
      <c r="E243" s="9">
        <v>23.5</v>
      </c>
      <c r="F243" s="10">
        <v>69</v>
      </c>
      <c r="G243" s="9">
        <v>69</v>
      </c>
      <c r="H243" s="8" t="s">
        <v>2871</v>
      </c>
      <c r="I243" s="7"/>
      <c r="J243" s="11" t="s">
        <v>3240</v>
      </c>
      <c r="K243" s="7" t="s">
        <v>3205</v>
      </c>
      <c r="L243" s="7" t="s">
        <v>3206</v>
      </c>
      <c r="M243" s="12"/>
    </row>
    <row r="244" spans="1:13" ht="15.2" customHeight="1" x14ac:dyDescent="0.2">
      <c r="A244" s="6" t="s">
        <v>4335</v>
      </c>
      <c r="B244" s="7" t="s">
        <v>4336</v>
      </c>
      <c r="C244" s="8">
        <v>2</v>
      </c>
      <c r="D244" s="9">
        <v>23</v>
      </c>
      <c r="E244" s="9">
        <v>46</v>
      </c>
      <c r="F244" s="10">
        <v>59.5</v>
      </c>
      <c r="G244" s="9">
        <v>119</v>
      </c>
      <c r="H244" s="8" t="s">
        <v>4013</v>
      </c>
      <c r="I244" s="7" t="s">
        <v>3185</v>
      </c>
      <c r="J244" s="11" t="s">
        <v>3242</v>
      </c>
      <c r="K244" s="7" t="s">
        <v>3198</v>
      </c>
      <c r="L244" s="7" t="s">
        <v>3199</v>
      </c>
      <c r="M244" s="12"/>
    </row>
    <row r="245" spans="1:13" ht="15.2" customHeight="1" x14ac:dyDescent="0.2">
      <c r="A245" s="6" t="s">
        <v>1391</v>
      </c>
      <c r="B245" s="7" t="s">
        <v>1392</v>
      </c>
      <c r="C245" s="8">
        <v>1</v>
      </c>
      <c r="D245" s="9">
        <v>23</v>
      </c>
      <c r="E245" s="9">
        <v>23</v>
      </c>
      <c r="F245" s="10">
        <v>69</v>
      </c>
      <c r="G245" s="9">
        <v>69</v>
      </c>
      <c r="H245" s="8" t="s">
        <v>4012</v>
      </c>
      <c r="I245" s="7" t="s">
        <v>3377</v>
      </c>
      <c r="J245" s="11" t="s">
        <v>3220</v>
      </c>
      <c r="K245" s="7" t="s">
        <v>3205</v>
      </c>
      <c r="L245" s="7" t="s">
        <v>3826</v>
      </c>
      <c r="M245" s="12"/>
    </row>
    <row r="246" spans="1:13" ht="15.2" customHeight="1" x14ac:dyDescent="0.2">
      <c r="A246" s="6" t="s">
        <v>1393</v>
      </c>
      <c r="B246" s="7" t="s">
        <v>1394</v>
      </c>
      <c r="C246" s="8">
        <v>1</v>
      </c>
      <c r="D246" s="9">
        <v>22.5</v>
      </c>
      <c r="E246" s="9">
        <v>22.5</v>
      </c>
      <c r="F246" s="10">
        <v>69</v>
      </c>
      <c r="G246" s="9">
        <v>69</v>
      </c>
      <c r="H246" s="8" t="s">
        <v>1395</v>
      </c>
      <c r="I246" s="7"/>
      <c r="J246" s="11"/>
      <c r="K246" s="7" t="s">
        <v>3205</v>
      </c>
      <c r="L246" s="7" t="s">
        <v>3215</v>
      </c>
      <c r="M246" s="12"/>
    </row>
    <row r="247" spans="1:13" ht="15.2" customHeight="1" x14ac:dyDescent="0.2">
      <c r="A247" s="6" t="s">
        <v>1396</v>
      </c>
      <c r="B247" s="7" t="s">
        <v>1397</v>
      </c>
      <c r="C247" s="8">
        <v>1</v>
      </c>
      <c r="D247" s="9">
        <v>22.01</v>
      </c>
      <c r="E247" s="9">
        <v>22.01</v>
      </c>
      <c r="F247" s="10">
        <v>59.5</v>
      </c>
      <c r="G247" s="9">
        <v>59.5</v>
      </c>
      <c r="H247" s="8" t="s">
        <v>1398</v>
      </c>
      <c r="I247" s="7" t="s">
        <v>3495</v>
      </c>
      <c r="J247" s="11" t="s">
        <v>3202</v>
      </c>
      <c r="K247" s="7" t="s">
        <v>3768</v>
      </c>
      <c r="L247" s="7" t="s">
        <v>3769</v>
      </c>
      <c r="M247" s="12"/>
    </row>
    <row r="248" spans="1:13" ht="15.2" customHeight="1" x14ac:dyDescent="0.2">
      <c r="A248" s="6" t="s">
        <v>1399</v>
      </c>
      <c r="B248" s="7" t="s">
        <v>1400</v>
      </c>
      <c r="C248" s="8">
        <v>1</v>
      </c>
      <c r="D248" s="9">
        <v>22</v>
      </c>
      <c r="E248" s="9">
        <v>22</v>
      </c>
      <c r="F248" s="10">
        <v>69</v>
      </c>
      <c r="G248" s="9">
        <v>69</v>
      </c>
      <c r="H248" s="8" t="s">
        <v>1401</v>
      </c>
      <c r="I248" s="7" t="s">
        <v>3286</v>
      </c>
      <c r="J248" s="11" t="s">
        <v>3186</v>
      </c>
      <c r="K248" s="7" t="s">
        <v>3217</v>
      </c>
      <c r="L248" s="7" t="s">
        <v>3218</v>
      </c>
      <c r="M248" s="12"/>
    </row>
    <row r="249" spans="1:13" ht="15.2" customHeight="1" x14ac:dyDescent="0.2">
      <c r="A249" s="6" t="s">
        <v>1402</v>
      </c>
      <c r="B249" s="7" t="s">
        <v>1403</v>
      </c>
      <c r="C249" s="8">
        <v>1</v>
      </c>
      <c r="D249" s="9">
        <v>21.88</v>
      </c>
      <c r="E249" s="9">
        <v>21.88</v>
      </c>
      <c r="F249" s="10">
        <v>59.99</v>
      </c>
      <c r="G249" s="9">
        <v>59.99</v>
      </c>
      <c r="H249" s="8" t="s">
        <v>3760</v>
      </c>
      <c r="I249" s="7" t="s">
        <v>3185</v>
      </c>
      <c r="J249" s="11" t="s">
        <v>3231</v>
      </c>
      <c r="K249" s="7" t="s">
        <v>3221</v>
      </c>
      <c r="L249" s="7" t="s">
        <v>3212</v>
      </c>
      <c r="M249" s="12"/>
    </row>
    <row r="250" spans="1:13" ht="15.2" customHeight="1" x14ac:dyDescent="0.2">
      <c r="A250" s="6" t="s">
        <v>2301</v>
      </c>
      <c r="B250" s="7" t="s">
        <v>2302</v>
      </c>
      <c r="C250" s="8">
        <v>1</v>
      </c>
      <c r="D250" s="9">
        <v>21.88</v>
      </c>
      <c r="E250" s="9">
        <v>21.88</v>
      </c>
      <c r="F250" s="10">
        <v>59.99</v>
      </c>
      <c r="G250" s="9">
        <v>59.99</v>
      </c>
      <c r="H250" s="8" t="s">
        <v>3760</v>
      </c>
      <c r="I250" s="7" t="s">
        <v>3185</v>
      </c>
      <c r="J250" s="11" t="s">
        <v>3186</v>
      </c>
      <c r="K250" s="7" t="s">
        <v>3221</v>
      </c>
      <c r="L250" s="7" t="s">
        <v>3212</v>
      </c>
      <c r="M250" s="12"/>
    </row>
    <row r="251" spans="1:13" ht="15.2" customHeight="1" x14ac:dyDescent="0.2">
      <c r="A251" s="6" t="s">
        <v>4157</v>
      </c>
      <c r="B251" s="7" t="s">
        <v>4158</v>
      </c>
      <c r="C251" s="8">
        <v>1</v>
      </c>
      <c r="D251" s="9">
        <v>20.85</v>
      </c>
      <c r="E251" s="9">
        <v>20.85</v>
      </c>
      <c r="F251" s="10">
        <v>69.5</v>
      </c>
      <c r="G251" s="9">
        <v>69.5</v>
      </c>
      <c r="H251" s="8">
        <v>60438720</v>
      </c>
      <c r="I251" s="7" t="s">
        <v>3201</v>
      </c>
      <c r="J251" s="11" t="s">
        <v>3186</v>
      </c>
      <c r="K251" s="7" t="s">
        <v>3187</v>
      </c>
      <c r="L251" s="7" t="s">
        <v>3188</v>
      </c>
      <c r="M251" s="12"/>
    </row>
    <row r="252" spans="1:13" ht="15.2" customHeight="1" x14ac:dyDescent="0.2">
      <c r="A252" s="6" t="s">
        <v>4155</v>
      </c>
      <c r="B252" s="7" t="s">
        <v>4156</v>
      </c>
      <c r="C252" s="8">
        <v>1</v>
      </c>
      <c r="D252" s="9">
        <v>20.85</v>
      </c>
      <c r="E252" s="9">
        <v>20.85</v>
      </c>
      <c r="F252" s="10">
        <v>69.5</v>
      </c>
      <c r="G252" s="9">
        <v>69.5</v>
      </c>
      <c r="H252" s="8">
        <v>60438720</v>
      </c>
      <c r="I252" s="7" t="s">
        <v>3252</v>
      </c>
      <c r="J252" s="11" t="s">
        <v>3202</v>
      </c>
      <c r="K252" s="7" t="s">
        <v>3187</v>
      </c>
      <c r="L252" s="7" t="s">
        <v>3188</v>
      </c>
      <c r="M252" s="12"/>
    </row>
    <row r="253" spans="1:13" ht="15.2" customHeight="1" x14ac:dyDescent="0.2">
      <c r="A253" s="6" t="s">
        <v>1404</v>
      </c>
      <c r="B253" s="7" t="s">
        <v>3498</v>
      </c>
      <c r="C253" s="8">
        <v>1</v>
      </c>
      <c r="D253" s="9">
        <v>20.65</v>
      </c>
      <c r="E253" s="9">
        <v>20.65</v>
      </c>
      <c r="F253" s="10">
        <v>59</v>
      </c>
      <c r="G253" s="9">
        <v>59</v>
      </c>
      <c r="H253" s="8" t="s">
        <v>3499</v>
      </c>
      <c r="I253" s="7" t="s">
        <v>3237</v>
      </c>
      <c r="J253" s="11" t="s">
        <v>3186</v>
      </c>
      <c r="K253" s="7" t="s">
        <v>3217</v>
      </c>
      <c r="L253" s="7" t="s">
        <v>3218</v>
      </c>
      <c r="M253" s="12"/>
    </row>
    <row r="254" spans="1:13" ht="15.2" customHeight="1" x14ac:dyDescent="0.2">
      <c r="A254" s="6" t="s">
        <v>1405</v>
      </c>
      <c r="B254" s="7" t="s">
        <v>1406</v>
      </c>
      <c r="C254" s="8">
        <v>1</v>
      </c>
      <c r="D254" s="9">
        <v>20.53</v>
      </c>
      <c r="E254" s="9">
        <v>20.53</v>
      </c>
      <c r="F254" s="10">
        <v>59.5</v>
      </c>
      <c r="G254" s="9">
        <v>59.5</v>
      </c>
      <c r="H254" s="8" t="s">
        <v>4015</v>
      </c>
      <c r="I254" s="7" t="s">
        <v>3185</v>
      </c>
      <c r="J254" s="11" t="s">
        <v>3202</v>
      </c>
      <c r="K254" s="7" t="s">
        <v>3232</v>
      </c>
      <c r="L254" s="7" t="s">
        <v>3233</v>
      </c>
      <c r="M254" s="12"/>
    </row>
    <row r="255" spans="1:13" ht="15.2" customHeight="1" x14ac:dyDescent="0.2">
      <c r="A255" s="6" t="s">
        <v>2306</v>
      </c>
      <c r="B255" s="7" t="s">
        <v>2307</v>
      </c>
      <c r="C255" s="8">
        <v>2</v>
      </c>
      <c r="D255" s="9">
        <v>20.52</v>
      </c>
      <c r="E255" s="9">
        <v>41.04</v>
      </c>
      <c r="F255" s="10">
        <v>59.5</v>
      </c>
      <c r="G255" s="9">
        <v>119</v>
      </c>
      <c r="H255" s="8" t="s">
        <v>2305</v>
      </c>
      <c r="I255" s="7" t="s">
        <v>3207</v>
      </c>
      <c r="J255" s="11" t="s">
        <v>3186</v>
      </c>
      <c r="K255" s="7" t="s">
        <v>3232</v>
      </c>
      <c r="L255" s="7" t="s">
        <v>3308</v>
      </c>
      <c r="M255" s="12"/>
    </row>
    <row r="256" spans="1:13" ht="15.2" customHeight="1" x14ac:dyDescent="0.2">
      <c r="A256" s="6" t="s">
        <v>1407</v>
      </c>
      <c r="B256" s="7" t="s">
        <v>1408</v>
      </c>
      <c r="C256" s="8">
        <v>1</v>
      </c>
      <c r="D256" s="9">
        <v>20.52</v>
      </c>
      <c r="E256" s="9">
        <v>20.52</v>
      </c>
      <c r="F256" s="10">
        <v>59.5</v>
      </c>
      <c r="G256" s="9">
        <v>59.5</v>
      </c>
      <c r="H256" s="8" t="s">
        <v>2305</v>
      </c>
      <c r="I256" s="7" t="s">
        <v>3207</v>
      </c>
      <c r="J256" s="11" t="s">
        <v>3231</v>
      </c>
      <c r="K256" s="7" t="s">
        <v>3232</v>
      </c>
      <c r="L256" s="7" t="s">
        <v>3308</v>
      </c>
      <c r="M256" s="12"/>
    </row>
    <row r="257" spans="1:13" ht="15.2" customHeight="1" x14ac:dyDescent="0.2">
      <c r="A257" s="6" t="s">
        <v>1409</v>
      </c>
      <c r="B257" s="7" t="s">
        <v>1410</v>
      </c>
      <c r="C257" s="8">
        <v>1</v>
      </c>
      <c r="D257" s="9">
        <v>19.8</v>
      </c>
      <c r="E257" s="9">
        <v>19.8</v>
      </c>
      <c r="F257" s="10">
        <v>49.5</v>
      </c>
      <c r="G257" s="9">
        <v>49.5</v>
      </c>
      <c r="H257" s="8" t="s">
        <v>3502</v>
      </c>
      <c r="I257" s="7" t="s">
        <v>3286</v>
      </c>
      <c r="J257" s="11" t="s">
        <v>3231</v>
      </c>
      <c r="K257" s="7" t="s">
        <v>3208</v>
      </c>
      <c r="L257" s="7" t="s">
        <v>3209</v>
      </c>
      <c r="M257" s="12"/>
    </row>
    <row r="258" spans="1:13" ht="15.2" customHeight="1" x14ac:dyDescent="0.2">
      <c r="A258" s="6" t="s">
        <v>1411</v>
      </c>
      <c r="B258" s="7" t="s">
        <v>1412</v>
      </c>
      <c r="C258" s="8">
        <v>1</v>
      </c>
      <c r="D258" s="9">
        <v>19.8</v>
      </c>
      <c r="E258" s="9">
        <v>19.8</v>
      </c>
      <c r="F258" s="10">
        <v>49.5</v>
      </c>
      <c r="G258" s="9">
        <v>49.5</v>
      </c>
      <c r="H258" s="8" t="s">
        <v>3502</v>
      </c>
      <c r="I258" s="7" t="s">
        <v>3286</v>
      </c>
      <c r="J258" s="11" t="s">
        <v>3186</v>
      </c>
      <c r="K258" s="7" t="s">
        <v>3208</v>
      </c>
      <c r="L258" s="7" t="s">
        <v>3209</v>
      </c>
      <c r="M258" s="12"/>
    </row>
    <row r="259" spans="1:13" ht="15.2" customHeight="1" x14ac:dyDescent="0.2">
      <c r="A259" s="6" t="s">
        <v>1413</v>
      </c>
      <c r="B259" s="7" t="s">
        <v>1414</v>
      </c>
      <c r="C259" s="8">
        <v>1</v>
      </c>
      <c r="D259" s="9">
        <v>19.5</v>
      </c>
      <c r="E259" s="9">
        <v>19.5</v>
      </c>
      <c r="F259" s="10">
        <v>59</v>
      </c>
      <c r="G259" s="9">
        <v>59</v>
      </c>
      <c r="H259" s="8" t="s">
        <v>2456</v>
      </c>
      <c r="I259" s="7" t="s">
        <v>3182</v>
      </c>
      <c r="J259" s="11" t="s">
        <v>3231</v>
      </c>
      <c r="K259" s="7" t="s">
        <v>3205</v>
      </c>
      <c r="L259" s="7" t="s">
        <v>3277</v>
      </c>
      <c r="M259" s="12"/>
    </row>
    <row r="260" spans="1:13" ht="15.2" customHeight="1" x14ac:dyDescent="0.2">
      <c r="A260" s="6" t="s">
        <v>2457</v>
      </c>
      <c r="B260" s="7" t="s">
        <v>2458</v>
      </c>
      <c r="C260" s="8">
        <v>1</v>
      </c>
      <c r="D260" s="9">
        <v>19</v>
      </c>
      <c r="E260" s="9">
        <v>19</v>
      </c>
      <c r="F260" s="10">
        <v>59</v>
      </c>
      <c r="G260" s="9">
        <v>59</v>
      </c>
      <c r="H260" s="8" t="s">
        <v>3504</v>
      </c>
      <c r="I260" s="7" t="s">
        <v>3207</v>
      </c>
      <c r="J260" s="11" t="s">
        <v>3220</v>
      </c>
      <c r="K260" s="7" t="s">
        <v>3205</v>
      </c>
      <c r="L260" s="7" t="s">
        <v>3500</v>
      </c>
      <c r="M260" s="12"/>
    </row>
    <row r="261" spans="1:13" ht="15.2" customHeight="1" x14ac:dyDescent="0.2">
      <c r="A261" s="6" t="s">
        <v>3505</v>
      </c>
      <c r="B261" s="7" t="s">
        <v>3506</v>
      </c>
      <c r="C261" s="8">
        <v>1</v>
      </c>
      <c r="D261" s="9">
        <v>18.75</v>
      </c>
      <c r="E261" s="9">
        <v>18.75</v>
      </c>
      <c r="F261" s="10">
        <v>59</v>
      </c>
      <c r="G261" s="9">
        <v>59</v>
      </c>
      <c r="H261" s="8" t="s">
        <v>3507</v>
      </c>
      <c r="I261" s="7"/>
      <c r="J261" s="11"/>
      <c r="K261" s="7" t="s">
        <v>3217</v>
      </c>
      <c r="L261" s="7" t="s">
        <v>3218</v>
      </c>
      <c r="M261" s="12"/>
    </row>
    <row r="262" spans="1:13" ht="15.2" customHeight="1" x14ac:dyDescent="0.2">
      <c r="A262" s="6" t="s">
        <v>1415</v>
      </c>
      <c r="B262" s="7" t="s">
        <v>1416</v>
      </c>
      <c r="C262" s="8">
        <v>3</v>
      </c>
      <c r="D262" s="9">
        <v>18.75</v>
      </c>
      <c r="E262" s="9">
        <v>56.25</v>
      </c>
      <c r="F262" s="10">
        <v>59</v>
      </c>
      <c r="G262" s="9">
        <v>177</v>
      </c>
      <c r="H262" s="8" t="s">
        <v>3507</v>
      </c>
      <c r="I262" s="7"/>
      <c r="J262" s="11"/>
      <c r="K262" s="7" t="s">
        <v>3217</v>
      </c>
      <c r="L262" s="7" t="s">
        <v>3218</v>
      </c>
      <c r="M262" s="12"/>
    </row>
    <row r="263" spans="1:13" ht="15.2" customHeight="1" x14ac:dyDescent="0.2">
      <c r="A263" s="6" t="s">
        <v>1417</v>
      </c>
      <c r="B263" s="7" t="s">
        <v>3763</v>
      </c>
      <c r="C263" s="8">
        <v>1</v>
      </c>
      <c r="D263" s="9">
        <v>18.420000000000002</v>
      </c>
      <c r="E263" s="9">
        <v>18.420000000000002</v>
      </c>
      <c r="F263" s="10">
        <v>49.5</v>
      </c>
      <c r="G263" s="9">
        <v>49.5</v>
      </c>
      <c r="H263" s="8" t="s">
        <v>3764</v>
      </c>
      <c r="I263" s="7" t="s">
        <v>3185</v>
      </c>
      <c r="J263" s="11" t="s">
        <v>3242</v>
      </c>
      <c r="K263" s="7" t="s">
        <v>3232</v>
      </c>
      <c r="L263" s="7" t="s">
        <v>3233</v>
      </c>
      <c r="M263" s="12"/>
    </row>
    <row r="264" spans="1:13" ht="15.2" customHeight="1" x14ac:dyDescent="0.2">
      <c r="A264" s="6" t="s">
        <v>4342</v>
      </c>
      <c r="B264" s="7" t="s">
        <v>3509</v>
      </c>
      <c r="C264" s="8">
        <v>1</v>
      </c>
      <c r="D264" s="9">
        <v>18.07</v>
      </c>
      <c r="E264" s="9">
        <v>18.07</v>
      </c>
      <c r="F264" s="10">
        <v>49.5</v>
      </c>
      <c r="G264" s="9">
        <v>49.5</v>
      </c>
      <c r="H264" s="8" t="s">
        <v>3510</v>
      </c>
      <c r="I264" s="7" t="s">
        <v>3252</v>
      </c>
      <c r="J264" s="11" t="s">
        <v>3202</v>
      </c>
      <c r="K264" s="7" t="s">
        <v>3221</v>
      </c>
      <c r="L264" s="7" t="s">
        <v>3224</v>
      </c>
      <c r="M264" s="12"/>
    </row>
    <row r="265" spans="1:13" ht="15.2" customHeight="1" x14ac:dyDescent="0.2">
      <c r="A265" s="6" t="s">
        <v>1418</v>
      </c>
      <c r="B265" s="7" t="s">
        <v>3509</v>
      </c>
      <c r="C265" s="8">
        <v>1</v>
      </c>
      <c r="D265" s="9">
        <v>18.07</v>
      </c>
      <c r="E265" s="9">
        <v>18.07</v>
      </c>
      <c r="F265" s="10">
        <v>49.5</v>
      </c>
      <c r="G265" s="9">
        <v>49.5</v>
      </c>
      <c r="H265" s="8" t="s">
        <v>3510</v>
      </c>
      <c r="I265" s="7" t="s">
        <v>3252</v>
      </c>
      <c r="J265" s="11" t="s">
        <v>3231</v>
      </c>
      <c r="K265" s="7" t="s">
        <v>3221</v>
      </c>
      <c r="L265" s="7" t="s">
        <v>3224</v>
      </c>
      <c r="M265" s="12"/>
    </row>
    <row r="266" spans="1:13" ht="15.2" customHeight="1" x14ac:dyDescent="0.2">
      <c r="A266" s="6" t="s">
        <v>4159</v>
      </c>
      <c r="B266" s="7" t="s">
        <v>3766</v>
      </c>
      <c r="C266" s="8">
        <v>1</v>
      </c>
      <c r="D266" s="9">
        <v>18.04</v>
      </c>
      <c r="E266" s="9">
        <v>18.04</v>
      </c>
      <c r="F266" s="10">
        <v>49.5</v>
      </c>
      <c r="G266" s="9">
        <v>49.5</v>
      </c>
      <c r="H266" s="8" t="s">
        <v>3767</v>
      </c>
      <c r="I266" s="7" t="s">
        <v>3252</v>
      </c>
      <c r="J266" s="11" t="s">
        <v>3231</v>
      </c>
      <c r="K266" s="7" t="s">
        <v>3221</v>
      </c>
      <c r="L266" s="7" t="s">
        <v>3224</v>
      </c>
      <c r="M266" s="12"/>
    </row>
    <row r="267" spans="1:13" ht="15.2" customHeight="1" x14ac:dyDescent="0.2">
      <c r="A267" s="6" t="s">
        <v>1419</v>
      </c>
      <c r="B267" s="7" t="s">
        <v>1420</v>
      </c>
      <c r="C267" s="8">
        <v>1</v>
      </c>
      <c r="D267" s="9">
        <v>18</v>
      </c>
      <c r="E267" s="9">
        <v>18</v>
      </c>
      <c r="F267" s="10">
        <v>69</v>
      </c>
      <c r="G267" s="9">
        <v>69</v>
      </c>
      <c r="H267" s="8" t="s">
        <v>1421</v>
      </c>
      <c r="I267" s="7" t="s">
        <v>3321</v>
      </c>
      <c r="J267" s="11" t="s">
        <v>3202</v>
      </c>
      <c r="K267" s="7" t="s">
        <v>3205</v>
      </c>
      <c r="L267" s="7" t="s">
        <v>3261</v>
      </c>
      <c r="M267" s="12"/>
    </row>
    <row r="268" spans="1:13" ht="15.2" customHeight="1" x14ac:dyDescent="0.2">
      <c r="A268" s="6" t="s">
        <v>1422</v>
      </c>
      <c r="B268" s="7" t="s">
        <v>1423</v>
      </c>
      <c r="C268" s="8">
        <v>1</v>
      </c>
      <c r="D268" s="9">
        <v>18</v>
      </c>
      <c r="E268" s="9">
        <v>18</v>
      </c>
      <c r="F268" s="10">
        <v>59</v>
      </c>
      <c r="G268" s="9">
        <v>59</v>
      </c>
      <c r="H268" s="8">
        <v>1165542</v>
      </c>
      <c r="I268" s="7"/>
      <c r="J268" s="11" t="s">
        <v>3236</v>
      </c>
      <c r="K268" s="7" t="s">
        <v>3205</v>
      </c>
      <c r="L268" s="7" t="s">
        <v>3296</v>
      </c>
      <c r="M268" s="12"/>
    </row>
    <row r="269" spans="1:13" ht="15.2" customHeight="1" x14ac:dyDescent="0.2">
      <c r="A269" s="6" t="s">
        <v>4020</v>
      </c>
      <c r="B269" s="7" t="s">
        <v>4021</v>
      </c>
      <c r="C269" s="8">
        <v>1</v>
      </c>
      <c r="D269" s="9">
        <v>18</v>
      </c>
      <c r="E269" s="9">
        <v>18</v>
      </c>
      <c r="F269" s="10">
        <v>59</v>
      </c>
      <c r="G269" s="9">
        <v>59</v>
      </c>
      <c r="H269" s="8" t="s">
        <v>4022</v>
      </c>
      <c r="I269" s="7" t="s">
        <v>3234</v>
      </c>
      <c r="J269" s="11" t="s">
        <v>3240</v>
      </c>
      <c r="K269" s="7" t="s">
        <v>3205</v>
      </c>
      <c r="L269" s="7" t="s">
        <v>3206</v>
      </c>
      <c r="M269" s="12"/>
    </row>
    <row r="270" spans="1:13" ht="15.2" customHeight="1" x14ac:dyDescent="0.2">
      <c r="A270" s="6" t="s">
        <v>1424</v>
      </c>
      <c r="B270" s="7" t="s">
        <v>1425</v>
      </c>
      <c r="C270" s="8">
        <v>1</v>
      </c>
      <c r="D270" s="9">
        <v>17.850000000000001</v>
      </c>
      <c r="E270" s="9">
        <v>17.850000000000001</v>
      </c>
      <c r="F270" s="10">
        <v>59.5</v>
      </c>
      <c r="G270" s="9">
        <v>59.5</v>
      </c>
      <c r="H270" s="8">
        <v>49022897</v>
      </c>
      <c r="I270" s="7" t="s">
        <v>3216</v>
      </c>
      <c r="J270" s="11" t="s">
        <v>3231</v>
      </c>
      <c r="K270" s="7" t="s">
        <v>3187</v>
      </c>
      <c r="L270" s="7" t="s">
        <v>3188</v>
      </c>
      <c r="M270" s="12"/>
    </row>
    <row r="271" spans="1:13" ht="15.2" customHeight="1" x14ac:dyDescent="0.2">
      <c r="A271" s="6" t="s">
        <v>1426</v>
      </c>
      <c r="B271" s="7" t="s">
        <v>1427</v>
      </c>
      <c r="C271" s="8">
        <v>1</v>
      </c>
      <c r="D271" s="9">
        <v>17</v>
      </c>
      <c r="E271" s="9">
        <v>17</v>
      </c>
      <c r="F271" s="10">
        <v>41.99</v>
      </c>
      <c r="G271" s="9">
        <v>41.99</v>
      </c>
      <c r="H271" s="8" t="s">
        <v>3771</v>
      </c>
      <c r="I271" s="7" t="s">
        <v>3203</v>
      </c>
      <c r="J271" s="11" t="s">
        <v>3231</v>
      </c>
      <c r="K271" s="7" t="s">
        <v>3241</v>
      </c>
      <c r="L271" s="7" t="s">
        <v>3296</v>
      </c>
      <c r="M271" s="12"/>
    </row>
    <row r="272" spans="1:13" ht="15.2" customHeight="1" x14ac:dyDescent="0.2">
      <c r="A272" s="6" t="s">
        <v>1428</v>
      </c>
      <c r="B272" s="7" t="s">
        <v>1429</v>
      </c>
      <c r="C272" s="8">
        <v>1</v>
      </c>
      <c r="D272" s="9">
        <v>17</v>
      </c>
      <c r="E272" s="9">
        <v>17</v>
      </c>
      <c r="F272" s="10">
        <v>59</v>
      </c>
      <c r="G272" s="9">
        <v>59</v>
      </c>
      <c r="H272" s="8" t="s">
        <v>3772</v>
      </c>
      <c r="I272" s="7" t="s">
        <v>3252</v>
      </c>
      <c r="J272" s="11" t="s">
        <v>3186</v>
      </c>
      <c r="K272" s="7" t="s">
        <v>3295</v>
      </c>
      <c r="L272" s="7" t="s">
        <v>3296</v>
      </c>
      <c r="M272" s="12"/>
    </row>
    <row r="273" spans="1:13" ht="15.2" customHeight="1" x14ac:dyDescent="0.2">
      <c r="A273" s="6" t="s">
        <v>1430</v>
      </c>
      <c r="B273" s="7" t="s">
        <v>1431</v>
      </c>
      <c r="C273" s="8">
        <v>1</v>
      </c>
      <c r="D273" s="9">
        <v>16.91</v>
      </c>
      <c r="E273" s="9">
        <v>16.91</v>
      </c>
      <c r="F273" s="10">
        <v>39.5</v>
      </c>
      <c r="G273" s="9">
        <v>39.5</v>
      </c>
      <c r="H273" s="8" t="s">
        <v>2908</v>
      </c>
      <c r="I273" s="7" t="s">
        <v>3185</v>
      </c>
      <c r="J273" s="11" t="s">
        <v>3220</v>
      </c>
      <c r="K273" s="7" t="s">
        <v>3232</v>
      </c>
      <c r="L273" s="7" t="s">
        <v>3233</v>
      </c>
      <c r="M273" s="12"/>
    </row>
    <row r="274" spans="1:13" ht="15.2" customHeight="1" x14ac:dyDescent="0.2">
      <c r="A274" s="6" t="s">
        <v>1432</v>
      </c>
      <c r="B274" s="7" t="s">
        <v>3512</v>
      </c>
      <c r="C274" s="8">
        <v>1</v>
      </c>
      <c r="D274" s="9">
        <v>16.88</v>
      </c>
      <c r="E274" s="9">
        <v>16.88</v>
      </c>
      <c r="F274" s="10">
        <v>49.5</v>
      </c>
      <c r="G274" s="9">
        <v>49.5</v>
      </c>
      <c r="H274" s="8" t="s">
        <v>3513</v>
      </c>
      <c r="I274" s="7" t="s">
        <v>3252</v>
      </c>
      <c r="J274" s="11" t="s">
        <v>3186</v>
      </c>
      <c r="K274" s="7" t="s">
        <v>3232</v>
      </c>
      <c r="L274" s="7" t="s">
        <v>3308</v>
      </c>
      <c r="M274" s="12"/>
    </row>
    <row r="275" spans="1:13" ht="15.2" customHeight="1" x14ac:dyDescent="0.2">
      <c r="A275" s="6" t="s">
        <v>1433</v>
      </c>
      <c r="B275" s="7" t="s">
        <v>3512</v>
      </c>
      <c r="C275" s="8">
        <v>1</v>
      </c>
      <c r="D275" s="9">
        <v>16.88</v>
      </c>
      <c r="E275" s="9">
        <v>16.88</v>
      </c>
      <c r="F275" s="10">
        <v>49.5</v>
      </c>
      <c r="G275" s="9">
        <v>49.5</v>
      </c>
      <c r="H275" s="8" t="s">
        <v>3513</v>
      </c>
      <c r="I275" s="7" t="s">
        <v>2404</v>
      </c>
      <c r="J275" s="11" t="s">
        <v>3220</v>
      </c>
      <c r="K275" s="7" t="s">
        <v>3232</v>
      </c>
      <c r="L275" s="7" t="s">
        <v>3308</v>
      </c>
      <c r="M275" s="12"/>
    </row>
    <row r="276" spans="1:13" ht="15.2" customHeight="1" x14ac:dyDescent="0.2">
      <c r="A276" s="6" t="s">
        <v>2310</v>
      </c>
      <c r="B276" s="7" t="s">
        <v>2311</v>
      </c>
      <c r="C276" s="8">
        <v>5</v>
      </c>
      <c r="D276" s="9">
        <v>16.739999999999998</v>
      </c>
      <c r="E276" s="9">
        <v>83.7</v>
      </c>
      <c r="F276" s="10">
        <v>49</v>
      </c>
      <c r="G276" s="9">
        <v>245</v>
      </c>
      <c r="H276" s="8" t="s">
        <v>2309</v>
      </c>
      <c r="I276" s="7" t="s">
        <v>3185</v>
      </c>
      <c r="J276" s="11" t="s">
        <v>3202</v>
      </c>
      <c r="K276" s="7" t="s">
        <v>3517</v>
      </c>
      <c r="L276" s="7" t="s">
        <v>3518</v>
      </c>
      <c r="M276" s="12"/>
    </row>
    <row r="277" spans="1:13" ht="15.2" customHeight="1" x14ac:dyDescent="0.2">
      <c r="A277" s="6" t="s">
        <v>4164</v>
      </c>
      <c r="B277" s="7" t="s">
        <v>4165</v>
      </c>
      <c r="C277" s="8">
        <v>4</v>
      </c>
      <c r="D277" s="9">
        <v>16.739999999999998</v>
      </c>
      <c r="E277" s="9">
        <v>66.959999999999994</v>
      </c>
      <c r="F277" s="10">
        <v>49</v>
      </c>
      <c r="G277" s="9">
        <v>196</v>
      </c>
      <c r="H277" s="8" t="s">
        <v>4166</v>
      </c>
      <c r="I277" s="7" t="s">
        <v>3185</v>
      </c>
      <c r="J277" s="11" t="s">
        <v>3186</v>
      </c>
      <c r="K277" s="7" t="s">
        <v>3517</v>
      </c>
      <c r="L277" s="7" t="s">
        <v>3518</v>
      </c>
      <c r="M277" s="12"/>
    </row>
    <row r="278" spans="1:13" ht="15.2" customHeight="1" x14ac:dyDescent="0.2">
      <c r="A278" s="6" t="s">
        <v>2912</v>
      </c>
      <c r="B278" s="7" t="s">
        <v>2913</v>
      </c>
      <c r="C278" s="8">
        <v>3</v>
      </c>
      <c r="D278" s="9">
        <v>16.739999999999998</v>
      </c>
      <c r="E278" s="9">
        <v>50.22</v>
      </c>
      <c r="F278" s="10">
        <v>49</v>
      </c>
      <c r="G278" s="9">
        <v>147</v>
      </c>
      <c r="H278" s="8" t="s">
        <v>2309</v>
      </c>
      <c r="I278" s="7" t="s">
        <v>3185</v>
      </c>
      <c r="J278" s="11" t="s">
        <v>3220</v>
      </c>
      <c r="K278" s="7" t="s">
        <v>3517</v>
      </c>
      <c r="L278" s="7" t="s">
        <v>3518</v>
      </c>
      <c r="M278" s="12"/>
    </row>
    <row r="279" spans="1:13" ht="15.2" customHeight="1" x14ac:dyDescent="0.2">
      <c r="A279" s="6" t="s">
        <v>2312</v>
      </c>
      <c r="B279" s="7" t="s">
        <v>2313</v>
      </c>
      <c r="C279" s="8">
        <v>1</v>
      </c>
      <c r="D279" s="9">
        <v>16.739999999999998</v>
      </c>
      <c r="E279" s="9">
        <v>16.739999999999998</v>
      </c>
      <c r="F279" s="10">
        <v>49</v>
      </c>
      <c r="G279" s="9">
        <v>49</v>
      </c>
      <c r="H279" s="8" t="s">
        <v>4166</v>
      </c>
      <c r="I279" s="7" t="s">
        <v>3185</v>
      </c>
      <c r="J279" s="11" t="s">
        <v>3231</v>
      </c>
      <c r="K279" s="7" t="s">
        <v>3517</v>
      </c>
      <c r="L279" s="7" t="s">
        <v>3518</v>
      </c>
      <c r="M279" s="12"/>
    </row>
    <row r="280" spans="1:13" ht="15.2" customHeight="1" x14ac:dyDescent="0.2">
      <c r="A280" s="6" t="s">
        <v>1434</v>
      </c>
      <c r="B280" s="7" t="s">
        <v>1435</v>
      </c>
      <c r="C280" s="8">
        <v>2</v>
      </c>
      <c r="D280" s="9">
        <v>16.739999999999998</v>
      </c>
      <c r="E280" s="9">
        <v>33.479999999999997</v>
      </c>
      <c r="F280" s="10">
        <v>49</v>
      </c>
      <c r="G280" s="9">
        <v>98</v>
      </c>
      <c r="H280" s="8" t="s">
        <v>4166</v>
      </c>
      <c r="I280" s="7" t="s">
        <v>3185</v>
      </c>
      <c r="J280" s="11" t="s">
        <v>3202</v>
      </c>
      <c r="K280" s="7" t="s">
        <v>3517</v>
      </c>
      <c r="L280" s="7" t="s">
        <v>3518</v>
      </c>
      <c r="M280" s="12"/>
    </row>
    <row r="281" spans="1:13" ht="15.2" customHeight="1" x14ac:dyDescent="0.2">
      <c r="A281" s="6" t="s">
        <v>1436</v>
      </c>
      <c r="B281" s="7" t="s">
        <v>1437</v>
      </c>
      <c r="C281" s="8">
        <v>1</v>
      </c>
      <c r="D281" s="9">
        <v>16.739999999999998</v>
      </c>
      <c r="E281" s="9">
        <v>16.739999999999998</v>
      </c>
      <c r="F281" s="10">
        <v>49</v>
      </c>
      <c r="G281" s="9">
        <v>49</v>
      </c>
      <c r="H281" s="8" t="s">
        <v>3779</v>
      </c>
      <c r="I281" s="7" t="s">
        <v>3394</v>
      </c>
      <c r="J281" s="11" t="s">
        <v>3231</v>
      </c>
      <c r="K281" s="7" t="s">
        <v>3517</v>
      </c>
      <c r="L281" s="7" t="s">
        <v>3518</v>
      </c>
      <c r="M281" s="12"/>
    </row>
    <row r="282" spans="1:13" ht="15.2" customHeight="1" x14ac:dyDescent="0.2">
      <c r="A282" s="6" t="s">
        <v>1438</v>
      </c>
      <c r="B282" s="7" t="s">
        <v>1439</v>
      </c>
      <c r="C282" s="8">
        <v>2</v>
      </c>
      <c r="D282" s="9">
        <v>16.739999999999998</v>
      </c>
      <c r="E282" s="9">
        <v>33.479999999999997</v>
      </c>
      <c r="F282" s="10">
        <v>49</v>
      </c>
      <c r="G282" s="9">
        <v>98</v>
      </c>
      <c r="H282" s="8" t="s">
        <v>4166</v>
      </c>
      <c r="I282" s="7" t="s">
        <v>3185</v>
      </c>
      <c r="J282" s="11" t="s">
        <v>3220</v>
      </c>
      <c r="K282" s="7" t="s">
        <v>3517</v>
      </c>
      <c r="L282" s="7" t="s">
        <v>3518</v>
      </c>
      <c r="M282" s="12"/>
    </row>
    <row r="283" spans="1:13" ht="15.2" customHeight="1" x14ac:dyDescent="0.2">
      <c r="A283" s="6" t="s">
        <v>3777</v>
      </c>
      <c r="B283" s="7" t="s">
        <v>3778</v>
      </c>
      <c r="C283" s="8">
        <v>1</v>
      </c>
      <c r="D283" s="9">
        <v>16.739999999999998</v>
      </c>
      <c r="E283" s="9">
        <v>16.739999999999998</v>
      </c>
      <c r="F283" s="10">
        <v>49</v>
      </c>
      <c r="G283" s="9">
        <v>49</v>
      </c>
      <c r="H283" s="8" t="s">
        <v>3779</v>
      </c>
      <c r="I283" s="7" t="s">
        <v>3394</v>
      </c>
      <c r="J283" s="11" t="s">
        <v>3202</v>
      </c>
      <c r="K283" s="7" t="s">
        <v>3517</v>
      </c>
      <c r="L283" s="7" t="s">
        <v>3518</v>
      </c>
      <c r="M283" s="12"/>
    </row>
    <row r="284" spans="1:13" ht="15.2" customHeight="1" x14ac:dyDescent="0.2">
      <c r="A284" s="6" t="s">
        <v>2910</v>
      </c>
      <c r="B284" s="7" t="s">
        <v>2911</v>
      </c>
      <c r="C284" s="8">
        <v>1</v>
      </c>
      <c r="D284" s="9">
        <v>16.739999999999998</v>
      </c>
      <c r="E284" s="9">
        <v>16.739999999999998</v>
      </c>
      <c r="F284" s="10">
        <v>49</v>
      </c>
      <c r="G284" s="9">
        <v>49</v>
      </c>
      <c r="H284" s="8" t="s">
        <v>3779</v>
      </c>
      <c r="I284" s="7" t="s">
        <v>3394</v>
      </c>
      <c r="J284" s="11" t="s">
        <v>3220</v>
      </c>
      <c r="K284" s="7" t="s">
        <v>3517</v>
      </c>
      <c r="L284" s="7" t="s">
        <v>3518</v>
      </c>
      <c r="M284" s="12"/>
    </row>
    <row r="285" spans="1:13" ht="15.2" customHeight="1" x14ac:dyDescent="0.2">
      <c r="A285" s="6" t="s">
        <v>1440</v>
      </c>
      <c r="B285" s="7" t="s">
        <v>1441</v>
      </c>
      <c r="C285" s="8">
        <v>1</v>
      </c>
      <c r="D285" s="9">
        <v>16.5</v>
      </c>
      <c r="E285" s="9">
        <v>16.5</v>
      </c>
      <c r="F285" s="10">
        <v>39.99</v>
      </c>
      <c r="G285" s="9">
        <v>39.99</v>
      </c>
      <c r="H285" s="8" t="s">
        <v>2919</v>
      </c>
      <c r="I285" s="7" t="s">
        <v>3911</v>
      </c>
      <c r="J285" s="11" t="s">
        <v>3202</v>
      </c>
      <c r="K285" s="7" t="s">
        <v>3241</v>
      </c>
      <c r="L285" s="7" t="s">
        <v>3663</v>
      </c>
      <c r="M285" s="12"/>
    </row>
    <row r="286" spans="1:13" ht="15.2" customHeight="1" x14ac:dyDescent="0.2">
      <c r="A286" s="6" t="s">
        <v>1442</v>
      </c>
      <c r="B286" s="7" t="s">
        <v>1443</v>
      </c>
      <c r="C286" s="8">
        <v>1</v>
      </c>
      <c r="D286" s="9">
        <v>16.5</v>
      </c>
      <c r="E286" s="9">
        <v>16.5</v>
      </c>
      <c r="F286" s="10">
        <v>39.99</v>
      </c>
      <c r="G286" s="9">
        <v>39.99</v>
      </c>
      <c r="H286" s="8" t="s">
        <v>2919</v>
      </c>
      <c r="I286" s="7" t="s">
        <v>3911</v>
      </c>
      <c r="J286" s="11" t="s">
        <v>3186</v>
      </c>
      <c r="K286" s="7" t="s">
        <v>3241</v>
      </c>
      <c r="L286" s="7" t="s">
        <v>3663</v>
      </c>
      <c r="M286" s="12"/>
    </row>
    <row r="287" spans="1:13" ht="15.2" customHeight="1" x14ac:dyDescent="0.2">
      <c r="A287" s="6" t="s">
        <v>1444</v>
      </c>
      <c r="B287" s="7" t="s">
        <v>1445</v>
      </c>
      <c r="C287" s="8">
        <v>1</v>
      </c>
      <c r="D287" s="9">
        <v>16.5</v>
      </c>
      <c r="E287" s="9">
        <v>16.5</v>
      </c>
      <c r="F287" s="10">
        <v>39.99</v>
      </c>
      <c r="G287" s="9">
        <v>39.99</v>
      </c>
      <c r="H287" s="8" t="s">
        <v>4347</v>
      </c>
      <c r="I287" s="7" t="s">
        <v>3681</v>
      </c>
      <c r="J287" s="11" t="s">
        <v>3186</v>
      </c>
      <c r="K287" s="7" t="s">
        <v>3241</v>
      </c>
      <c r="L287" s="7" t="s">
        <v>3261</v>
      </c>
      <c r="M287" s="12"/>
    </row>
    <row r="288" spans="1:13" ht="15.2" customHeight="1" x14ac:dyDescent="0.2">
      <c r="A288" s="6" t="s">
        <v>1446</v>
      </c>
      <c r="B288" s="7" t="s">
        <v>1447</v>
      </c>
      <c r="C288" s="8">
        <v>1</v>
      </c>
      <c r="D288" s="9">
        <v>16.46</v>
      </c>
      <c r="E288" s="9">
        <v>16.46</v>
      </c>
      <c r="F288" s="10">
        <v>49.5</v>
      </c>
      <c r="G288" s="9">
        <v>49.5</v>
      </c>
      <c r="H288" s="8" t="s">
        <v>1448</v>
      </c>
      <c r="I288" s="7" t="s">
        <v>3185</v>
      </c>
      <c r="J288" s="11" t="s">
        <v>3229</v>
      </c>
      <c r="K288" s="7" t="s">
        <v>3193</v>
      </c>
      <c r="L288" s="7" t="s">
        <v>3194</v>
      </c>
      <c r="M288" s="12"/>
    </row>
    <row r="289" spans="1:13" ht="15.2" customHeight="1" x14ac:dyDescent="0.2">
      <c r="A289" s="6" t="s">
        <v>4348</v>
      </c>
      <c r="B289" s="7" t="s">
        <v>4349</v>
      </c>
      <c r="C289" s="8">
        <v>1</v>
      </c>
      <c r="D289" s="9">
        <v>16.329999999999998</v>
      </c>
      <c r="E289" s="9">
        <v>16.329999999999998</v>
      </c>
      <c r="F289" s="10">
        <v>44.5</v>
      </c>
      <c r="G289" s="9">
        <v>44.5</v>
      </c>
      <c r="H289" s="8" t="s">
        <v>3782</v>
      </c>
      <c r="I289" s="7" t="s">
        <v>3185</v>
      </c>
      <c r="J289" s="11" t="s">
        <v>3231</v>
      </c>
      <c r="K289" s="7" t="s">
        <v>3232</v>
      </c>
      <c r="L289" s="7" t="s">
        <v>3233</v>
      </c>
      <c r="M289" s="12"/>
    </row>
    <row r="290" spans="1:13" ht="15.2" customHeight="1" x14ac:dyDescent="0.2">
      <c r="A290" s="6" t="s">
        <v>1449</v>
      </c>
      <c r="B290" s="7" t="s">
        <v>1450</v>
      </c>
      <c r="C290" s="8">
        <v>1</v>
      </c>
      <c r="D290" s="9">
        <v>16.329999999999998</v>
      </c>
      <c r="E290" s="9">
        <v>16.329999999999998</v>
      </c>
      <c r="F290" s="10">
        <v>44.5</v>
      </c>
      <c r="G290" s="9">
        <v>44.5</v>
      </c>
      <c r="H290" s="8" t="s">
        <v>4023</v>
      </c>
      <c r="I290" s="7" t="s">
        <v>3381</v>
      </c>
      <c r="J290" s="11" t="s">
        <v>3202</v>
      </c>
      <c r="K290" s="7" t="s">
        <v>3232</v>
      </c>
      <c r="L290" s="7" t="s">
        <v>3233</v>
      </c>
      <c r="M290" s="12"/>
    </row>
    <row r="291" spans="1:13" ht="15.2" customHeight="1" x14ac:dyDescent="0.2">
      <c r="A291" s="6" t="s">
        <v>1451</v>
      </c>
      <c r="B291" s="7" t="s">
        <v>1452</v>
      </c>
      <c r="C291" s="8">
        <v>1</v>
      </c>
      <c r="D291" s="9">
        <v>16.239999999999998</v>
      </c>
      <c r="E291" s="9">
        <v>16.239999999999998</v>
      </c>
      <c r="F291" s="10">
        <v>44.5</v>
      </c>
      <c r="G291" s="9">
        <v>44.5</v>
      </c>
      <c r="H291" s="8" t="s">
        <v>4169</v>
      </c>
      <c r="I291" s="7" t="s">
        <v>3185</v>
      </c>
      <c r="J291" s="11" t="s">
        <v>3231</v>
      </c>
      <c r="K291" s="7" t="s">
        <v>3232</v>
      </c>
      <c r="L291" s="7" t="s">
        <v>3233</v>
      </c>
      <c r="M291" s="12"/>
    </row>
    <row r="292" spans="1:13" ht="15.2" customHeight="1" x14ac:dyDescent="0.2">
      <c r="A292" s="6" t="s">
        <v>1453</v>
      </c>
      <c r="B292" s="7" t="s">
        <v>1454</v>
      </c>
      <c r="C292" s="8">
        <v>1</v>
      </c>
      <c r="D292" s="9">
        <v>16.23</v>
      </c>
      <c r="E292" s="9">
        <v>16.23</v>
      </c>
      <c r="F292" s="10">
        <v>44.5</v>
      </c>
      <c r="G292" s="9">
        <v>44.5</v>
      </c>
      <c r="H292" s="8" t="s">
        <v>2930</v>
      </c>
      <c r="I292" s="7" t="s">
        <v>3203</v>
      </c>
      <c r="J292" s="11" t="s">
        <v>3338</v>
      </c>
      <c r="K292" s="7" t="s">
        <v>3221</v>
      </c>
      <c r="L292" s="7" t="s">
        <v>3224</v>
      </c>
      <c r="M292" s="12"/>
    </row>
    <row r="293" spans="1:13" ht="15.2" customHeight="1" x14ac:dyDescent="0.2">
      <c r="A293" s="6" t="s">
        <v>1455</v>
      </c>
      <c r="B293" s="7" t="s">
        <v>4170</v>
      </c>
      <c r="C293" s="8">
        <v>1</v>
      </c>
      <c r="D293" s="9">
        <v>15.8</v>
      </c>
      <c r="E293" s="9">
        <v>15.8</v>
      </c>
      <c r="F293" s="10">
        <v>39.5</v>
      </c>
      <c r="G293" s="9">
        <v>39.5</v>
      </c>
      <c r="H293" s="8" t="s">
        <v>4171</v>
      </c>
      <c r="I293" s="7" t="s">
        <v>3286</v>
      </c>
      <c r="J293" s="11" t="s">
        <v>3186</v>
      </c>
      <c r="K293" s="7" t="s">
        <v>3208</v>
      </c>
      <c r="L293" s="7" t="s">
        <v>3209</v>
      </c>
      <c r="M293" s="12"/>
    </row>
    <row r="294" spans="1:13" ht="15.2" customHeight="1" x14ac:dyDescent="0.2">
      <c r="A294" s="6" t="s">
        <v>1456</v>
      </c>
      <c r="B294" s="7" t="s">
        <v>1457</v>
      </c>
      <c r="C294" s="8">
        <v>1</v>
      </c>
      <c r="D294" s="9">
        <v>15.75</v>
      </c>
      <c r="E294" s="9">
        <v>15.75</v>
      </c>
      <c r="F294" s="10">
        <v>49</v>
      </c>
      <c r="G294" s="9">
        <v>49</v>
      </c>
      <c r="H294" s="8" t="s">
        <v>1458</v>
      </c>
      <c r="I294" s="7"/>
      <c r="J294" s="11" t="s">
        <v>3231</v>
      </c>
      <c r="K294" s="7" t="s">
        <v>3217</v>
      </c>
      <c r="L294" s="7" t="s">
        <v>3218</v>
      </c>
      <c r="M294" s="12"/>
    </row>
    <row r="295" spans="1:13" ht="15.2" customHeight="1" x14ac:dyDescent="0.2">
      <c r="A295" s="6" t="s">
        <v>2314</v>
      </c>
      <c r="B295" s="7" t="s">
        <v>2315</v>
      </c>
      <c r="C295" s="8">
        <v>1</v>
      </c>
      <c r="D295" s="9">
        <v>15.25</v>
      </c>
      <c r="E295" s="9">
        <v>15.25</v>
      </c>
      <c r="F295" s="10">
        <v>44</v>
      </c>
      <c r="G295" s="9">
        <v>44</v>
      </c>
      <c r="H295" s="8" t="s">
        <v>2316</v>
      </c>
      <c r="I295" s="7" t="s">
        <v>3216</v>
      </c>
      <c r="J295" s="11" t="s">
        <v>3202</v>
      </c>
      <c r="K295" s="7" t="s">
        <v>3217</v>
      </c>
      <c r="L295" s="7" t="s">
        <v>3218</v>
      </c>
      <c r="M295" s="12"/>
    </row>
    <row r="296" spans="1:13" ht="15.2" customHeight="1" x14ac:dyDescent="0.2">
      <c r="A296" s="6" t="s">
        <v>1459</v>
      </c>
      <c r="B296" s="7" t="s">
        <v>2935</v>
      </c>
      <c r="C296" s="8">
        <v>1</v>
      </c>
      <c r="D296" s="9">
        <v>15.25</v>
      </c>
      <c r="E296" s="9">
        <v>15.25</v>
      </c>
      <c r="F296" s="10">
        <v>44</v>
      </c>
      <c r="G296" s="9">
        <v>44</v>
      </c>
      <c r="H296" s="8" t="s">
        <v>2316</v>
      </c>
      <c r="I296" s="7" t="s">
        <v>3246</v>
      </c>
      <c r="J296" s="11" t="s">
        <v>3220</v>
      </c>
      <c r="K296" s="7" t="s">
        <v>3217</v>
      </c>
      <c r="L296" s="7" t="s">
        <v>3218</v>
      </c>
      <c r="M296" s="12"/>
    </row>
    <row r="297" spans="1:13" ht="15.2" customHeight="1" x14ac:dyDescent="0.2">
      <c r="A297" s="6" t="s">
        <v>1460</v>
      </c>
      <c r="B297" s="7" t="s">
        <v>1461</v>
      </c>
      <c r="C297" s="8">
        <v>1</v>
      </c>
      <c r="D297" s="9">
        <v>15.25</v>
      </c>
      <c r="E297" s="9">
        <v>15.25</v>
      </c>
      <c r="F297" s="10">
        <v>44</v>
      </c>
      <c r="G297" s="9">
        <v>44</v>
      </c>
      <c r="H297" s="8" t="s">
        <v>2316</v>
      </c>
      <c r="I297" s="7" t="s">
        <v>3216</v>
      </c>
      <c r="J297" s="11" t="s">
        <v>3220</v>
      </c>
      <c r="K297" s="7" t="s">
        <v>3217</v>
      </c>
      <c r="L297" s="7" t="s">
        <v>3218</v>
      </c>
      <c r="M297" s="12"/>
    </row>
    <row r="298" spans="1:13" ht="15.2" customHeight="1" x14ac:dyDescent="0.2">
      <c r="A298" s="6" t="s">
        <v>1462</v>
      </c>
      <c r="B298" s="7" t="s">
        <v>4024</v>
      </c>
      <c r="C298" s="8">
        <v>1</v>
      </c>
      <c r="D298" s="9">
        <v>15.15</v>
      </c>
      <c r="E298" s="9">
        <v>15.15</v>
      </c>
      <c r="F298" s="10">
        <v>44.5</v>
      </c>
      <c r="G298" s="9">
        <v>44.5</v>
      </c>
      <c r="H298" s="8" t="s">
        <v>4025</v>
      </c>
      <c r="I298" s="7" t="s">
        <v>3185</v>
      </c>
      <c r="J298" s="11" t="s">
        <v>3331</v>
      </c>
      <c r="K298" s="7" t="s">
        <v>3221</v>
      </c>
      <c r="L298" s="7" t="s">
        <v>3224</v>
      </c>
      <c r="M298" s="12"/>
    </row>
    <row r="299" spans="1:13" ht="15.2" customHeight="1" x14ac:dyDescent="0.2">
      <c r="A299" s="6" t="s">
        <v>4028</v>
      </c>
      <c r="B299" s="7" t="s">
        <v>4029</v>
      </c>
      <c r="C299" s="8">
        <v>1</v>
      </c>
      <c r="D299" s="9">
        <v>15</v>
      </c>
      <c r="E299" s="9">
        <v>15</v>
      </c>
      <c r="F299" s="10">
        <v>34.99</v>
      </c>
      <c r="G299" s="9">
        <v>34.99</v>
      </c>
      <c r="H299" s="8" t="s">
        <v>4030</v>
      </c>
      <c r="I299" s="7" t="s">
        <v>3252</v>
      </c>
      <c r="J299" s="11" t="s">
        <v>3186</v>
      </c>
      <c r="K299" s="7" t="s">
        <v>3241</v>
      </c>
      <c r="L299" s="7" t="s">
        <v>3826</v>
      </c>
      <c r="M299" s="12"/>
    </row>
    <row r="300" spans="1:13" ht="15.2" customHeight="1" x14ac:dyDescent="0.2">
      <c r="A300" s="6" t="s">
        <v>1463</v>
      </c>
      <c r="B300" s="7" t="s">
        <v>1464</v>
      </c>
      <c r="C300" s="8">
        <v>1</v>
      </c>
      <c r="D300" s="9">
        <v>14.65</v>
      </c>
      <c r="E300" s="9">
        <v>14.65</v>
      </c>
      <c r="F300" s="10">
        <v>34.99</v>
      </c>
      <c r="G300" s="9">
        <v>34.99</v>
      </c>
      <c r="H300" s="8" t="s">
        <v>1465</v>
      </c>
      <c r="I300" s="7" t="s">
        <v>3416</v>
      </c>
      <c r="J300" s="11" t="s">
        <v>3220</v>
      </c>
      <c r="K300" s="7" t="s">
        <v>3300</v>
      </c>
      <c r="L300" s="7" t="s">
        <v>3301</v>
      </c>
      <c r="M300" s="12"/>
    </row>
    <row r="301" spans="1:13" ht="15.2" customHeight="1" x14ac:dyDescent="0.2">
      <c r="A301" s="6" t="s">
        <v>1466</v>
      </c>
      <c r="B301" s="7" t="s">
        <v>1467</v>
      </c>
      <c r="C301" s="8">
        <v>1</v>
      </c>
      <c r="D301" s="9">
        <v>14.5</v>
      </c>
      <c r="E301" s="9">
        <v>14.5</v>
      </c>
      <c r="F301" s="10">
        <v>39.5</v>
      </c>
      <c r="G301" s="9">
        <v>39.5</v>
      </c>
      <c r="H301" s="8" t="s">
        <v>3527</v>
      </c>
      <c r="I301" s="7" t="s">
        <v>3185</v>
      </c>
      <c r="J301" s="11" t="s">
        <v>3236</v>
      </c>
      <c r="K301" s="7" t="s">
        <v>3232</v>
      </c>
      <c r="L301" s="7" t="s">
        <v>3233</v>
      </c>
      <c r="M301" s="12"/>
    </row>
    <row r="302" spans="1:13" ht="15.2" customHeight="1" x14ac:dyDescent="0.2">
      <c r="A302" s="6" t="s">
        <v>4350</v>
      </c>
      <c r="B302" s="7" t="s">
        <v>4351</v>
      </c>
      <c r="C302" s="8">
        <v>1</v>
      </c>
      <c r="D302" s="9">
        <v>14.5</v>
      </c>
      <c r="E302" s="9">
        <v>14.5</v>
      </c>
      <c r="F302" s="10">
        <v>39.5</v>
      </c>
      <c r="G302" s="9">
        <v>39.5</v>
      </c>
      <c r="H302" s="8" t="s">
        <v>4352</v>
      </c>
      <c r="I302" s="7" t="s">
        <v>3252</v>
      </c>
      <c r="J302" s="11" t="s">
        <v>3220</v>
      </c>
      <c r="K302" s="7" t="s">
        <v>3221</v>
      </c>
      <c r="L302" s="7" t="s">
        <v>3224</v>
      </c>
      <c r="M302" s="12"/>
    </row>
    <row r="303" spans="1:13" ht="15.2" customHeight="1" x14ac:dyDescent="0.2">
      <c r="A303" s="6" t="s">
        <v>1468</v>
      </c>
      <c r="B303" s="7" t="s">
        <v>1469</v>
      </c>
      <c r="C303" s="8">
        <v>1</v>
      </c>
      <c r="D303" s="9">
        <v>14.45</v>
      </c>
      <c r="E303" s="9">
        <v>14.45</v>
      </c>
      <c r="F303" s="10">
        <v>39.5</v>
      </c>
      <c r="G303" s="9">
        <v>39.5</v>
      </c>
      <c r="H303" s="8" t="s">
        <v>4353</v>
      </c>
      <c r="I303" s="7" t="s">
        <v>3394</v>
      </c>
      <c r="J303" s="11" t="s">
        <v>3231</v>
      </c>
      <c r="K303" s="7" t="s">
        <v>3232</v>
      </c>
      <c r="L303" s="7" t="s">
        <v>3233</v>
      </c>
      <c r="M303" s="12"/>
    </row>
    <row r="304" spans="1:13" ht="15.2" customHeight="1" x14ac:dyDescent="0.2">
      <c r="A304" s="6" t="s">
        <v>1470</v>
      </c>
      <c r="B304" s="7" t="s">
        <v>3541</v>
      </c>
      <c r="C304" s="8">
        <v>1</v>
      </c>
      <c r="D304" s="9">
        <v>14.42</v>
      </c>
      <c r="E304" s="9">
        <v>14.42</v>
      </c>
      <c r="F304" s="10">
        <v>39.5</v>
      </c>
      <c r="G304" s="9">
        <v>39.5</v>
      </c>
      <c r="H304" s="8" t="s">
        <v>3542</v>
      </c>
      <c r="I304" s="7" t="s">
        <v>3182</v>
      </c>
      <c r="J304" s="11" t="s">
        <v>3242</v>
      </c>
      <c r="K304" s="7" t="s">
        <v>3221</v>
      </c>
      <c r="L304" s="7" t="s">
        <v>3250</v>
      </c>
      <c r="M304" s="12"/>
    </row>
    <row r="305" spans="1:13" ht="15.2" customHeight="1" x14ac:dyDescent="0.2">
      <c r="A305" s="6" t="s">
        <v>1471</v>
      </c>
      <c r="B305" s="7" t="s">
        <v>3536</v>
      </c>
      <c r="C305" s="8">
        <v>2</v>
      </c>
      <c r="D305" s="9">
        <v>14.42</v>
      </c>
      <c r="E305" s="9">
        <v>28.84</v>
      </c>
      <c r="F305" s="10">
        <v>39.5</v>
      </c>
      <c r="G305" s="9">
        <v>79</v>
      </c>
      <c r="H305" s="8" t="s">
        <v>3537</v>
      </c>
      <c r="I305" s="7" t="s">
        <v>3257</v>
      </c>
      <c r="J305" s="11" t="s">
        <v>3186</v>
      </c>
      <c r="K305" s="7" t="s">
        <v>3221</v>
      </c>
      <c r="L305" s="7" t="s">
        <v>3224</v>
      </c>
      <c r="M305" s="12"/>
    </row>
    <row r="306" spans="1:13" ht="15.2" customHeight="1" x14ac:dyDescent="0.2">
      <c r="A306" s="6" t="s">
        <v>4176</v>
      </c>
      <c r="B306" s="7" t="s">
        <v>3530</v>
      </c>
      <c r="C306" s="8">
        <v>1</v>
      </c>
      <c r="D306" s="9">
        <v>14.42</v>
      </c>
      <c r="E306" s="9">
        <v>14.42</v>
      </c>
      <c r="F306" s="10">
        <v>39.5</v>
      </c>
      <c r="G306" s="9">
        <v>39.5</v>
      </c>
      <c r="H306" s="8" t="s">
        <v>3531</v>
      </c>
      <c r="I306" s="7" t="s">
        <v>3203</v>
      </c>
      <c r="J306" s="11" t="s">
        <v>3186</v>
      </c>
      <c r="K306" s="7" t="s">
        <v>3221</v>
      </c>
      <c r="L306" s="7" t="s">
        <v>3224</v>
      </c>
      <c r="M306" s="12"/>
    </row>
    <row r="307" spans="1:13" ht="15.2" customHeight="1" x14ac:dyDescent="0.2">
      <c r="A307" s="6" t="s">
        <v>1472</v>
      </c>
      <c r="B307" s="7" t="s">
        <v>3536</v>
      </c>
      <c r="C307" s="8">
        <v>2</v>
      </c>
      <c r="D307" s="9">
        <v>14.42</v>
      </c>
      <c r="E307" s="9">
        <v>28.84</v>
      </c>
      <c r="F307" s="10">
        <v>39.5</v>
      </c>
      <c r="G307" s="9">
        <v>79</v>
      </c>
      <c r="H307" s="8" t="s">
        <v>3537</v>
      </c>
      <c r="I307" s="7" t="s">
        <v>3263</v>
      </c>
      <c r="J307" s="11" t="s">
        <v>3186</v>
      </c>
      <c r="K307" s="7" t="s">
        <v>3221</v>
      </c>
      <c r="L307" s="7" t="s">
        <v>3224</v>
      </c>
      <c r="M307" s="12"/>
    </row>
    <row r="308" spans="1:13" ht="15.2" customHeight="1" x14ac:dyDescent="0.2">
      <c r="A308" s="6" t="s">
        <v>3540</v>
      </c>
      <c r="B308" s="7" t="s">
        <v>3541</v>
      </c>
      <c r="C308" s="8">
        <v>1</v>
      </c>
      <c r="D308" s="9">
        <v>14.42</v>
      </c>
      <c r="E308" s="9">
        <v>14.42</v>
      </c>
      <c r="F308" s="10">
        <v>39.5</v>
      </c>
      <c r="G308" s="9">
        <v>39.5</v>
      </c>
      <c r="H308" s="8" t="s">
        <v>3542</v>
      </c>
      <c r="I308" s="7" t="s">
        <v>3182</v>
      </c>
      <c r="J308" s="11" t="s">
        <v>3231</v>
      </c>
      <c r="K308" s="7" t="s">
        <v>3221</v>
      </c>
      <c r="L308" s="7" t="s">
        <v>3250</v>
      </c>
      <c r="M308" s="12"/>
    </row>
    <row r="309" spans="1:13" ht="15.2" customHeight="1" x14ac:dyDescent="0.2">
      <c r="A309" s="6" t="s">
        <v>4355</v>
      </c>
      <c r="B309" s="7" t="s">
        <v>3530</v>
      </c>
      <c r="C309" s="8">
        <v>2</v>
      </c>
      <c r="D309" s="9">
        <v>14.42</v>
      </c>
      <c r="E309" s="9">
        <v>28.84</v>
      </c>
      <c r="F309" s="10">
        <v>39.5</v>
      </c>
      <c r="G309" s="9">
        <v>79</v>
      </c>
      <c r="H309" s="8" t="s">
        <v>3531</v>
      </c>
      <c r="I309" s="7" t="s">
        <v>3263</v>
      </c>
      <c r="J309" s="11" t="s">
        <v>3186</v>
      </c>
      <c r="K309" s="7" t="s">
        <v>3221</v>
      </c>
      <c r="L309" s="7" t="s">
        <v>3224</v>
      </c>
      <c r="M309" s="12"/>
    </row>
    <row r="310" spans="1:13" ht="15.2" customHeight="1" x14ac:dyDescent="0.2">
      <c r="A310" s="6" t="s">
        <v>1473</v>
      </c>
      <c r="B310" s="7" t="s">
        <v>3536</v>
      </c>
      <c r="C310" s="8">
        <v>1</v>
      </c>
      <c r="D310" s="9">
        <v>14.42</v>
      </c>
      <c r="E310" s="9">
        <v>14.42</v>
      </c>
      <c r="F310" s="10">
        <v>39.5</v>
      </c>
      <c r="G310" s="9">
        <v>39.5</v>
      </c>
      <c r="H310" s="8" t="s">
        <v>3537</v>
      </c>
      <c r="I310" s="7" t="s">
        <v>3214</v>
      </c>
      <c r="J310" s="11" t="s">
        <v>3220</v>
      </c>
      <c r="K310" s="7" t="s">
        <v>3221</v>
      </c>
      <c r="L310" s="7" t="s">
        <v>3224</v>
      </c>
      <c r="M310" s="12"/>
    </row>
    <row r="311" spans="1:13" ht="15.2" customHeight="1" x14ac:dyDescent="0.2">
      <c r="A311" s="6" t="s">
        <v>3538</v>
      </c>
      <c r="B311" s="7" t="s">
        <v>3539</v>
      </c>
      <c r="C311" s="8">
        <v>1</v>
      </c>
      <c r="D311" s="9">
        <v>14.42</v>
      </c>
      <c r="E311" s="9">
        <v>14.42</v>
      </c>
      <c r="F311" s="10">
        <v>39.5</v>
      </c>
      <c r="G311" s="9">
        <v>39.5</v>
      </c>
      <c r="H311" s="8" t="s">
        <v>3534</v>
      </c>
      <c r="I311" s="7" t="s">
        <v>3228</v>
      </c>
      <c r="J311" s="11" t="s">
        <v>3231</v>
      </c>
      <c r="K311" s="7" t="s">
        <v>3221</v>
      </c>
      <c r="L311" s="7" t="s">
        <v>3224</v>
      </c>
      <c r="M311" s="12"/>
    </row>
    <row r="312" spans="1:13" ht="15.2" customHeight="1" x14ac:dyDescent="0.2">
      <c r="A312" s="6" t="s">
        <v>1474</v>
      </c>
      <c r="B312" s="7" t="s">
        <v>3530</v>
      </c>
      <c r="C312" s="8">
        <v>1</v>
      </c>
      <c r="D312" s="9">
        <v>14.42</v>
      </c>
      <c r="E312" s="9">
        <v>14.42</v>
      </c>
      <c r="F312" s="10">
        <v>39.5</v>
      </c>
      <c r="G312" s="9">
        <v>39.5</v>
      </c>
      <c r="H312" s="8" t="s">
        <v>3531</v>
      </c>
      <c r="I312" s="7" t="s">
        <v>3203</v>
      </c>
      <c r="J312" s="11" t="s">
        <v>3242</v>
      </c>
      <c r="K312" s="7" t="s">
        <v>3221</v>
      </c>
      <c r="L312" s="7" t="s">
        <v>3224</v>
      </c>
      <c r="M312" s="12"/>
    </row>
    <row r="313" spans="1:13" ht="15.2" customHeight="1" x14ac:dyDescent="0.2">
      <c r="A313" s="6" t="s">
        <v>3544</v>
      </c>
      <c r="B313" s="7" t="s">
        <v>3545</v>
      </c>
      <c r="C313" s="8">
        <v>1</v>
      </c>
      <c r="D313" s="9">
        <v>14.42</v>
      </c>
      <c r="E313" s="9">
        <v>14.42</v>
      </c>
      <c r="F313" s="10">
        <v>39.5</v>
      </c>
      <c r="G313" s="9">
        <v>39.5</v>
      </c>
      <c r="H313" s="8" t="s">
        <v>3534</v>
      </c>
      <c r="I313" s="7" t="s">
        <v>3228</v>
      </c>
      <c r="J313" s="11" t="s">
        <v>3186</v>
      </c>
      <c r="K313" s="7" t="s">
        <v>3221</v>
      </c>
      <c r="L313" s="7" t="s">
        <v>3224</v>
      </c>
      <c r="M313" s="12"/>
    </row>
    <row r="314" spans="1:13" ht="15.2" customHeight="1" x14ac:dyDescent="0.2">
      <c r="A314" s="6" t="s">
        <v>4031</v>
      </c>
      <c r="B314" s="7" t="s">
        <v>3530</v>
      </c>
      <c r="C314" s="8">
        <v>1</v>
      </c>
      <c r="D314" s="9">
        <v>14.42</v>
      </c>
      <c r="E314" s="9">
        <v>14.42</v>
      </c>
      <c r="F314" s="10">
        <v>39.5</v>
      </c>
      <c r="G314" s="9">
        <v>39.5</v>
      </c>
      <c r="H314" s="8" t="s">
        <v>3531</v>
      </c>
      <c r="I314" s="7" t="s">
        <v>3386</v>
      </c>
      <c r="J314" s="11" t="s">
        <v>3186</v>
      </c>
      <c r="K314" s="7" t="s">
        <v>3221</v>
      </c>
      <c r="L314" s="7" t="s">
        <v>3224</v>
      </c>
      <c r="M314" s="12"/>
    </row>
    <row r="315" spans="1:13" ht="15.2" customHeight="1" x14ac:dyDescent="0.2">
      <c r="A315" s="6" t="s">
        <v>1475</v>
      </c>
      <c r="B315" s="7" t="s">
        <v>1476</v>
      </c>
      <c r="C315" s="8">
        <v>1</v>
      </c>
      <c r="D315" s="9">
        <v>14.42</v>
      </c>
      <c r="E315" s="9">
        <v>14.42</v>
      </c>
      <c r="F315" s="10">
        <v>39.5</v>
      </c>
      <c r="G315" s="9">
        <v>39.5</v>
      </c>
      <c r="H315" s="8" t="s">
        <v>1477</v>
      </c>
      <c r="I315" s="7" t="s">
        <v>3839</v>
      </c>
      <c r="J315" s="11" t="s">
        <v>3220</v>
      </c>
      <c r="K315" s="7" t="s">
        <v>3221</v>
      </c>
      <c r="L315" s="7" t="s">
        <v>3224</v>
      </c>
      <c r="M315" s="12"/>
    </row>
    <row r="316" spans="1:13" ht="15.2" customHeight="1" x14ac:dyDescent="0.2">
      <c r="A316" s="6" t="s">
        <v>3532</v>
      </c>
      <c r="B316" s="7" t="s">
        <v>3533</v>
      </c>
      <c r="C316" s="8">
        <v>1</v>
      </c>
      <c r="D316" s="9">
        <v>14.42</v>
      </c>
      <c r="E316" s="9">
        <v>14.42</v>
      </c>
      <c r="F316" s="10">
        <v>39.5</v>
      </c>
      <c r="G316" s="9">
        <v>39.5</v>
      </c>
      <c r="H316" s="8" t="s">
        <v>3534</v>
      </c>
      <c r="I316" s="7" t="s">
        <v>3228</v>
      </c>
      <c r="J316" s="11" t="s">
        <v>3202</v>
      </c>
      <c r="K316" s="7" t="s">
        <v>3221</v>
      </c>
      <c r="L316" s="7" t="s">
        <v>3224</v>
      </c>
      <c r="M316" s="12"/>
    </row>
    <row r="317" spans="1:13" ht="15.2" customHeight="1" x14ac:dyDescent="0.2">
      <c r="A317" s="6" t="s">
        <v>1478</v>
      </c>
      <c r="B317" s="7" t="s">
        <v>3547</v>
      </c>
      <c r="C317" s="8">
        <v>1</v>
      </c>
      <c r="D317" s="9">
        <v>14.4</v>
      </c>
      <c r="E317" s="9">
        <v>14.4</v>
      </c>
      <c r="F317" s="10">
        <v>39.5</v>
      </c>
      <c r="G317" s="9">
        <v>39.5</v>
      </c>
      <c r="H317" s="8" t="s">
        <v>3548</v>
      </c>
      <c r="I317" s="7" t="s">
        <v>3185</v>
      </c>
      <c r="J317" s="11" t="s">
        <v>3231</v>
      </c>
      <c r="K317" s="7" t="s">
        <v>3221</v>
      </c>
      <c r="L317" s="7" t="s">
        <v>3224</v>
      </c>
      <c r="M317" s="12"/>
    </row>
    <row r="318" spans="1:13" ht="15.2" customHeight="1" x14ac:dyDescent="0.2">
      <c r="A318" s="6" t="s">
        <v>1479</v>
      </c>
      <c r="B318" s="7" t="s">
        <v>1480</v>
      </c>
      <c r="C318" s="8">
        <v>1</v>
      </c>
      <c r="D318" s="9">
        <v>13.5</v>
      </c>
      <c r="E318" s="9">
        <v>13.5</v>
      </c>
      <c r="F318" s="10">
        <v>39</v>
      </c>
      <c r="G318" s="9">
        <v>39</v>
      </c>
      <c r="H318" s="8" t="s">
        <v>1481</v>
      </c>
      <c r="I318" s="7" t="s">
        <v>3381</v>
      </c>
      <c r="J318" s="11" t="s">
        <v>3236</v>
      </c>
      <c r="K318" s="7" t="s">
        <v>3295</v>
      </c>
      <c r="L318" s="7" t="s">
        <v>3296</v>
      </c>
      <c r="M318" s="12"/>
    </row>
    <row r="319" spans="1:13" ht="15.2" customHeight="1" x14ac:dyDescent="0.2">
      <c r="A319" s="6" t="s">
        <v>1482</v>
      </c>
      <c r="B319" s="7" t="s">
        <v>4363</v>
      </c>
      <c r="C319" s="8">
        <v>2</v>
      </c>
      <c r="D319" s="9">
        <v>12.5</v>
      </c>
      <c r="E319" s="9">
        <v>25</v>
      </c>
      <c r="F319" s="10">
        <v>49</v>
      </c>
      <c r="G319" s="9">
        <v>98</v>
      </c>
      <c r="H319" s="8" t="s">
        <v>4364</v>
      </c>
      <c r="I319" s="7" t="s">
        <v>3207</v>
      </c>
      <c r="J319" s="11" t="s">
        <v>3236</v>
      </c>
      <c r="K319" s="7" t="s">
        <v>3295</v>
      </c>
      <c r="L319" s="7" t="s">
        <v>3296</v>
      </c>
      <c r="M319" s="12"/>
    </row>
    <row r="320" spans="1:13" ht="15.2" customHeight="1" x14ac:dyDescent="0.2">
      <c r="A320" s="6" t="s">
        <v>1483</v>
      </c>
      <c r="B320" s="7" t="s">
        <v>1484</v>
      </c>
      <c r="C320" s="8">
        <v>1</v>
      </c>
      <c r="D320" s="9">
        <v>12.5</v>
      </c>
      <c r="E320" s="9">
        <v>12.5</v>
      </c>
      <c r="F320" s="10">
        <v>34.99</v>
      </c>
      <c r="G320" s="9">
        <v>34.99</v>
      </c>
      <c r="H320" s="8" t="s">
        <v>1485</v>
      </c>
      <c r="I320" s="7" t="s">
        <v>3185</v>
      </c>
      <c r="J320" s="11" t="s">
        <v>3240</v>
      </c>
      <c r="K320" s="7" t="s">
        <v>3326</v>
      </c>
      <c r="L320" s="7" t="s">
        <v>3391</v>
      </c>
      <c r="M320" s="12"/>
    </row>
    <row r="321" spans="1:13" ht="15.2" customHeight="1" x14ac:dyDescent="0.2">
      <c r="A321" s="6" t="s">
        <v>1486</v>
      </c>
      <c r="B321" s="7" t="s">
        <v>1487</v>
      </c>
      <c r="C321" s="8">
        <v>1</v>
      </c>
      <c r="D321" s="9">
        <v>12.4</v>
      </c>
      <c r="E321" s="9">
        <v>12.4</v>
      </c>
      <c r="F321" s="10">
        <v>27.99</v>
      </c>
      <c r="G321" s="9">
        <v>27.99</v>
      </c>
      <c r="H321" s="8" t="s">
        <v>2323</v>
      </c>
      <c r="I321" s="7" t="s">
        <v>3214</v>
      </c>
      <c r="J321" s="11" t="s">
        <v>3231</v>
      </c>
      <c r="K321" s="7" t="s">
        <v>3334</v>
      </c>
      <c r="L321" s="7" t="s">
        <v>3324</v>
      </c>
      <c r="M321" s="12"/>
    </row>
    <row r="322" spans="1:13" ht="15.2" customHeight="1" x14ac:dyDescent="0.2">
      <c r="A322" s="6" t="s">
        <v>4365</v>
      </c>
      <c r="B322" s="7" t="s">
        <v>4366</v>
      </c>
      <c r="C322" s="8">
        <v>1</v>
      </c>
      <c r="D322" s="9">
        <v>12.08</v>
      </c>
      <c r="E322" s="9">
        <v>12.08</v>
      </c>
      <c r="F322" s="10">
        <v>27.99</v>
      </c>
      <c r="G322" s="9">
        <v>27.99</v>
      </c>
      <c r="H322" s="8" t="s">
        <v>3556</v>
      </c>
      <c r="I322" s="7" t="s">
        <v>3185</v>
      </c>
      <c r="J322" s="11" t="s">
        <v>3186</v>
      </c>
      <c r="K322" s="7" t="s">
        <v>3343</v>
      </c>
      <c r="L322" s="7" t="s">
        <v>3354</v>
      </c>
      <c r="M322" s="12"/>
    </row>
    <row r="323" spans="1:13" ht="15.2" customHeight="1" x14ac:dyDescent="0.2">
      <c r="A323" s="6" t="s">
        <v>3554</v>
      </c>
      <c r="B323" s="7" t="s">
        <v>3555</v>
      </c>
      <c r="C323" s="8">
        <v>1</v>
      </c>
      <c r="D323" s="9">
        <v>12.08</v>
      </c>
      <c r="E323" s="9">
        <v>12.08</v>
      </c>
      <c r="F323" s="10">
        <v>27.99</v>
      </c>
      <c r="G323" s="9">
        <v>27.99</v>
      </c>
      <c r="H323" s="8" t="s">
        <v>3556</v>
      </c>
      <c r="I323" s="7" t="s">
        <v>3185</v>
      </c>
      <c r="J323" s="11" t="s">
        <v>3231</v>
      </c>
      <c r="K323" s="7" t="s">
        <v>3343</v>
      </c>
      <c r="L323" s="7" t="s">
        <v>3354</v>
      </c>
      <c r="M323" s="12"/>
    </row>
    <row r="324" spans="1:13" ht="15.2" customHeight="1" x14ac:dyDescent="0.2">
      <c r="A324" s="6" t="s">
        <v>3787</v>
      </c>
      <c r="B324" s="7" t="s">
        <v>3788</v>
      </c>
      <c r="C324" s="8">
        <v>1</v>
      </c>
      <c r="D324" s="9">
        <v>12</v>
      </c>
      <c r="E324" s="9">
        <v>12</v>
      </c>
      <c r="F324" s="10">
        <v>39</v>
      </c>
      <c r="G324" s="9">
        <v>39</v>
      </c>
      <c r="H324" s="8">
        <v>90302</v>
      </c>
      <c r="I324" s="7" t="s">
        <v>3185</v>
      </c>
      <c r="J324" s="11" t="s">
        <v>3186</v>
      </c>
      <c r="K324" s="7" t="s">
        <v>3295</v>
      </c>
      <c r="L324" s="7" t="s">
        <v>3296</v>
      </c>
      <c r="M324" s="12"/>
    </row>
    <row r="325" spans="1:13" ht="15.2" customHeight="1" x14ac:dyDescent="0.2">
      <c r="A325" s="6" t="s">
        <v>2965</v>
      </c>
      <c r="B325" s="7" t="s">
        <v>2966</v>
      </c>
      <c r="C325" s="8">
        <v>1</v>
      </c>
      <c r="D325" s="9">
        <v>12</v>
      </c>
      <c r="E325" s="9">
        <v>12</v>
      </c>
      <c r="F325" s="10">
        <v>39</v>
      </c>
      <c r="G325" s="9">
        <v>39</v>
      </c>
      <c r="H325" s="8" t="s">
        <v>2967</v>
      </c>
      <c r="I325" s="7" t="s">
        <v>3252</v>
      </c>
      <c r="J325" s="11" t="s">
        <v>3186</v>
      </c>
      <c r="K325" s="7" t="s">
        <v>3295</v>
      </c>
      <c r="L325" s="7" t="s">
        <v>3296</v>
      </c>
      <c r="M325" s="12"/>
    </row>
    <row r="326" spans="1:13" ht="15.2" customHeight="1" x14ac:dyDescent="0.2">
      <c r="A326" s="6" t="s">
        <v>1488</v>
      </c>
      <c r="B326" s="7" t="s">
        <v>2326</v>
      </c>
      <c r="C326" s="8">
        <v>1</v>
      </c>
      <c r="D326" s="9">
        <v>11.5</v>
      </c>
      <c r="E326" s="9">
        <v>11.5</v>
      </c>
      <c r="F326" s="10">
        <v>39</v>
      </c>
      <c r="G326" s="9">
        <v>39</v>
      </c>
      <c r="H326" s="8" t="s">
        <v>2327</v>
      </c>
      <c r="I326" s="7" t="s">
        <v>3185</v>
      </c>
      <c r="J326" s="11" t="s">
        <v>3186</v>
      </c>
      <c r="K326" s="7" t="s">
        <v>3295</v>
      </c>
      <c r="L326" s="7" t="s">
        <v>3296</v>
      </c>
      <c r="M326" s="12"/>
    </row>
    <row r="327" spans="1:13" ht="15.2" customHeight="1" x14ac:dyDescent="0.2">
      <c r="A327" s="6" t="s">
        <v>1489</v>
      </c>
      <c r="B327" s="7" t="s">
        <v>2326</v>
      </c>
      <c r="C327" s="8">
        <v>1</v>
      </c>
      <c r="D327" s="9">
        <v>11.5</v>
      </c>
      <c r="E327" s="9">
        <v>11.5</v>
      </c>
      <c r="F327" s="10">
        <v>39</v>
      </c>
      <c r="G327" s="9">
        <v>39</v>
      </c>
      <c r="H327" s="8" t="s">
        <v>2327</v>
      </c>
      <c r="I327" s="7" t="s">
        <v>3185</v>
      </c>
      <c r="J327" s="11" t="s">
        <v>3202</v>
      </c>
      <c r="K327" s="7" t="s">
        <v>3295</v>
      </c>
      <c r="L327" s="7" t="s">
        <v>3296</v>
      </c>
      <c r="M327" s="12"/>
    </row>
    <row r="328" spans="1:13" ht="15.2" customHeight="1" x14ac:dyDescent="0.2">
      <c r="A328" s="6" t="s">
        <v>1490</v>
      </c>
      <c r="B328" s="7" t="s">
        <v>1491</v>
      </c>
      <c r="C328" s="8">
        <v>1</v>
      </c>
      <c r="D328" s="9">
        <v>11.5</v>
      </c>
      <c r="E328" s="9">
        <v>11.5</v>
      </c>
      <c r="F328" s="10">
        <v>59</v>
      </c>
      <c r="G328" s="9">
        <v>59</v>
      </c>
      <c r="H328" s="8" t="s">
        <v>1492</v>
      </c>
      <c r="I328" s="7" t="s">
        <v>3216</v>
      </c>
      <c r="J328" s="11" t="s">
        <v>3213</v>
      </c>
      <c r="K328" s="7" t="s">
        <v>3281</v>
      </c>
      <c r="L328" s="7" t="s">
        <v>3508</v>
      </c>
      <c r="M328" s="12"/>
    </row>
    <row r="329" spans="1:13" ht="15.2" customHeight="1" x14ac:dyDescent="0.2">
      <c r="A329" s="6" t="s">
        <v>1493</v>
      </c>
      <c r="B329" s="7" t="s">
        <v>1494</v>
      </c>
      <c r="C329" s="8">
        <v>1</v>
      </c>
      <c r="D329" s="9">
        <v>11.5</v>
      </c>
      <c r="E329" s="9">
        <v>11.5</v>
      </c>
      <c r="F329" s="10">
        <v>25.99</v>
      </c>
      <c r="G329" s="9">
        <v>25.99</v>
      </c>
      <c r="H329" s="8" t="s">
        <v>3346</v>
      </c>
      <c r="I329" s="7" t="s">
        <v>3926</v>
      </c>
      <c r="J329" s="11" t="s">
        <v>3338</v>
      </c>
      <c r="K329" s="7" t="s">
        <v>3326</v>
      </c>
      <c r="L329" s="7" t="s">
        <v>3282</v>
      </c>
      <c r="M329" s="12"/>
    </row>
    <row r="330" spans="1:13" ht="15.2" customHeight="1" x14ac:dyDescent="0.2">
      <c r="A330" s="6" t="s">
        <v>1495</v>
      </c>
      <c r="B330" s="7" t="s">
        <v>1496</v>
      </c>
      <c r="C330" s="8">
        <v>1</v>
      </c>
      <c r="D330" s="9">
        <v>11.5</v>
      </c>
      <c r="E330" s="9">
        <v>11.5</v>
      </c>
      <c r="F330" s="10">
        <v>39</v>
      </c>
      <c r="G330" s="9">
        <v>39</v>
      </c>
      <c r="H330" s="8" t="s">
        <v>1497</v>
      </c>
      <c r="I330" s="7"/>
      <c r="J330" s="11" t="s">
        <v>3242</v>
      </c>
      <c r="K330" s="7" t="s">
        <v>3295</v>
      </c>
      <c r="L330" s="7" t="s">
        <v>3296</v>
      </c>
      <c r="M330" s="12"/>
    </row>
    <row r="331" spans="1:13" ht="15.2" customHeight="1" x14ac:dyDescent="0.2">
      <c r="A331" s="6" t="s">
        <v>1498</v>
      </c>
      <c r="B331" s="7" t="s">
        <v>1499</v>
      </c>
      <c r="C331" s="8">
        <v>1</v>
      </c>
      <c r="D331" s="9">
        <v>11.34</v>
      </c>
      <c r="E331" s="9">
        <v>11.34</v>
      </c>
      <c r="F331" s="10">
        <v>39</v>
      </c>
      <c r="G331" s="9">
        <v>39</v>
      </c>
      <c r="H331" s="8" t="s">
        <v>4180</v>
      </c>
      <c r="I331" s="7" t="s">
        <v>3201</v>
      </c>
      <c r="J331" s="11" t="s">
        <v>3186</v>
      </c>
      <c r="K331" s="7" t="s">
        <v>3517</v>
      </c>
      <c r="L331" s="7" t="s">
        <v>3518</v>
      </c>
      <c r="M331" s="12"/>
    </row>
    <row r="332" spans="1:13" ht="15.2" customHeight="1" x14ac:dyDescent="0.2">
      <c r="A332" s="6" t="s">
        <v>1500</v>
      </c>
      <c r="B332" s="7" t="s">
        <v>1501</v>
      </c>
      <c r="C332" s="8">
        <v>1</v>
      </c>
      <c r="D332" s="9">
        <v>11.34</v>
      </c>
      <c r="E332" s="9">
        <v>11.34</v>
      </c>
      <c r="F332" s="10">
        <v>39</v>
      </c>
      <c r="G332" s="9">
        <v>39</v>
      </c>
      <c r="H332" s="8" t="s">
        <v>4180</v>
      </c>
      <c r="I332" s="7" t="s">
        <v>3201</v>
      </c>
      <c r="J332" s="11" t="s">
        <v>3220</v>
      </c>
      <c r="K332" s="7" t="s">
        <v>3517</v>
      </c>
      <c r="L332" s="7" t="s">
        <v>3518</v>
      </c>
      <c r="M332" s="12"/>
    </row>
    <row r="333" spans="1:13" ht="15.2" customHeight="1" x14ac:dyDescent="0.2">
      <c r="A333" s="6" t="s">
        <v>4368</v>
      </c>
      <c r="B333" s="7" t="s">
        <v>4369</v>
      </c>
      <c r="C333" s="8">
        <v>1</v>
      </c>
      <c r="D333" s="9">
        <v>11</v>
      </c>
      <c r="E333" s="9">
        <v>11</v>
      </c>
      <c r="F333" s="10">
        <v>27.99</v>
      </c>
      <c r="G333" s="9">
        <v>27.99</v>
      </c>
      <c r="H333" s="8" t="s">
        <v>3560</v>
      </c>
      <c r="I333" s="7" t="s">
        <v>3390</v>
      </c>
      <c r="J333" s="11" t="s">
        <v>3186</v>
      </c>
      <c r="K333" s="7" t="s">
        <v>3343</v>
      </c>
      <c r="L333" s="7" t="s">
        <v>3561</v>
      </c>
      <c r="M333" s="12"/>
    </row>
    <row r="334" spans="1:13" ht="15.2" customHeight="1" x14ac:dyDescent="0.2">
      <c r="A334" s="6" t="s">
        <v>1502</v>
      </c>
      <c r="B334" s="7" t="s">
        <v>1503</v>
      </c>
      <c r="C334" s="8">
        <v>1</v>
      </c>
      <c r="D334" s="9">
        <v>11</v>
      </c>
      <c r="E334" s="9">
        <v>11</v>
      </c>
      <c r="F334" s="10">
        <v>27.99</v>
      </c>
      <c r="G334" s="9">
        <v>27.99</v>
      </c>
      <c r="H334" s="8" t="s">
        <v>4367</v>
      </c>
      <c r="I334" s="7" t="s">
        <v>3214</v>
      </c>
      <c r="J334" s="11" t="s">
        <v>3202</v>
      </c>
      <c r="K334" s="7" t="s">
        <v>3343</v>
      </c>
      <c r="L334" s="7" t="s">
        <v>3367</v>
      </c>
      <c r="M334" s="12"/>
    </row>
    <row r="335" spans="1:13" ht="15.2" customHeight="1" x14ac:dyDescent="0.2">
      <c r="A335" s="6" t="s">
        <v>3798</v>
      </c>
      <c r="B335" s="7" t="s">
        <v>3799</v>
      </c>
      <c r="C335" s="8">
        <v>1</v>
      </c>
      <c r="D335" s="9">
        <v>11</v>
      </c>
      <c r="E335" s="9">
        <v>11</v>
      </c>
      <c r="F335" s="10">
        <v>27.99</v>
      </c>
      <c r="G335" s="9">
        <v>27.99</v>
      </c>
      <c r="H335" s="8" t="s">
        <v>3795</v>
      </c>
      <c r="I335" s="7" t="s">
        <v>3234</v>
      </c>
      <c r="J335" s="11" t="s">
        <v>3186</v>
      </c>
      <c r="K335" s="7" t="s">
        <v>3343</v>
      </c>
      <c r="L335" s="7" t="s">
        <v>3367</v>
      </c>
      <c r="M335" s="12"/>
    </row>
    <row r="336" spans="1:13" ht="15.2" customHeight="1" x14ac:dyDescent="0.2">
      <c r="A336" s="6" t="s">
        <v>1504</v>
      </c>
      <c r="B336" s="7" t="s">
        <v>1505</v>
      </c>
      <c r="C336" s="8">
        <v>1</v>
      </c>
      <c r="D336" s="9">
        <v>11</v>
      </c>
      <c r="E336" s="9">
        <v>11</v>
      </c>
      <c r="F336" s="10">
        <v>39</v>
      </c>
      <c r="G336" s="9">
        <v>39</v>
      </c>
      <c r="H336" s="8">
        <v>1050425</v>
      </c>
      <c r="I336" s="7" t="s">
        <v>3185</v>
      </c>
      <c r="J336" s="11" t="s">
        <v>3186</v>
      </c>
      <c r="K336" s="7" t="s">
        <v>3295</v>
      </c>
      <c r="L336" s="7" t="s">
        <v>3296</v>
      </c>
      <c r="M336" s="12"/>
    </row>
    <row r="337" spans="1:13" ht="15.2" customHeight="1" x14ac:dyDescent="0.2">
      <c r="A337" s="6" t="s">
        <v>1506</v>
      </c>
      <c r="B337" s="7" t="s">
        <v>1507</v>
      </c>
      <c r="C337" s="8">
        <v>1</v>
      </c>
      <c r="D337" s="9">
        <v>11</v>
      </c>
      <c r="E337" s="9">
        <v>11</v>
      </c>
      <c r="F337" s="10">
        <v>39</v>
      </c>
      <c r="G337" s="9">
        <v>39</v>
      </c>
      <c r="H337" s="8" t="s">
        <v>1508</v>
      </c>
      <c r="I337" s="7" t="s">
        <v>3185</v>
      </c>
      <c r="J337" s="11" t="s">
        <v>3231</v>
      </c>
      <c r="K337" s="7" t="s">
        <v>3295</v>
      </c>
      <c r="L337" s="7" t="s">
        <v>3296</v>
      </c>
      <c r="M337" s="12"/>
    </row>
    <row r="338" spans="1:13" ht="15.2" customHeight="1" x14ac:dyDescent="0.2">
      <c r="A338" s="6" t="s">
        <v>3558</v>
      </c>
      <c r="B338" s="7" t="s">
        <v>3559</v>
      </c>
      <c r="C338" s="8">
        <v>1</v>
      </c>
      <c r="D338" s="9">
        <v>11</v>
      </c>
      <c r="E338" s="9">
        <v>11</v>
      </c>
      <c r="F338" s="10">
        <v>27.99</v>
      </c>
      <c r="G338" s="9">
        <v>27.99</v>
      </c>
      <c r="H338" s="8" t="s">
        <v>3560</v>
      </c>
      <c r="I338" s="7" t="s">
        <v>3321</v>
      </c>
      <c r="J338" s="11" t="s">
        <v>3231</v>
      </c>
      <c r="K338" s="7" t="s">
        <v>3343</v>
      </c>
      <c r="L338" s="7" t="s">
        <v>3561</v>
      </c>
      <c r="M338" s="12"/>
    </row>
    <row r="339" spans="1:13" ht="15.2" customHeight="1" x14ac:dyDescent="0.2">
      <c r="A339" s="6" t="s">
        <v>1509</v>
      </c>
      <c r="B339" s="7" t="s">
        <v>1510</v>
      </c>
      <c r="C339" s="8">
        <v>1</v>
      </c>
      <c r="D339" s="9">
        <v>10.9</v>
      </c>
      <c r="E339" s="9">
        <v>10.9</v>
      </c>
      <c r="F339" s="10">
        <v>22.99</v>
      </c>
      <c r="G339" s="9">
        <v>22.99</v>
      </c>
      <c r="H339" s="8" t="s">
        <v>1511</v>
      </c>
      <c r="I339" s="7" t="s">
        <v>3286</v>
      </c>
      <c r="J339" s="11" t="s">
        <v>3202</v>
      </c>
      <c r="K339" s="7" t="s">
        <v>3326</v>
      </c>
      <c r="L339" s="7" t="s">
        <v>3550</v>
      </c>
      <c r="M339" s="12"/>
    </row>
    <row r="340" spans="1:13" ht="15.2" customHeight="1" x14ac:dyDescent="0.2">
      <c r="A340" s="6" t="s">
        <v>1512</v>
      </c>
      <c r="B340" s="7" t="s">
        <v>1513</v>
      </c>
      <c r="C340" s="8">
        <v>1</v>
      </c>
      <c r="D340" s="9">
        <v>10.199999999999999</v>
      </c>
      <c r="E340" s="9">
        <v>10.199999999999999</v>
      </c>
      <c r="F340" s="10">
        <v>27.99</v>
      </c>
      <c r="G340" s="9">
        <v>27.99</v>
      </c>
      <c r="H340" s="8" t="s">
        <v>1514</v>
      </c>
      <c r="I340" s="7" t="s">
        <v>3234</v>
      </c>
      <c r="J340" s="11" t="s">
        <v>3202</v>
      </c>
      <c r="K340" s="7" t="s">
        <v>3241</v>
      </c>
      <c r="L340" s="7" t="s">
        <v>3261</v>
      </c>
      <c r="M340" s="12"/>
    </row>
    <row r="341" spans="1:13" ht="15.2" customHeight="1" x14ac:dyDescent="0.2">
      <c r="A341" s="6" t="s">
        <v>1515</v>
      </c>
      <c r="B341" s="7" t="s">
        <v>1516</v>
      </c>
      <c r="C341" s="8">
        <v>1</v>
      </c>
      <c r="D341" s="9">
        <v>10</v>
      </c>
      <c r="E341" s="9">
        <v>10</v>
      </c>
      <c r="F341" s="10">
        <v>24.99</v>
      </c>
      <c r="G341" s="9">
        <v>24.99</v>
      </c>
      <c r="H341" s="8" t="s">
        <v>3806</v>
      </c>
      <c r="I341" s="7" t="s">
        <v>3185</v>
      </c>
      <c r="J341" s="11" t="s">
        <v>3231</v>
      </c>
      <c r="K341" s="7" t="s">
        <v>3323</v>
      </c>
      <c r="L341" s="7" t="s">
        <v>3418</v>
      </c>
      <c r="M341" s="12"/>
    </row>
    <row r="342" spans="1:13" ht="15.2" customHeight="1" x14ac:dyDescent="0.2">
      <c r="A342" s="6" t="s">
        <v>2466</v>
      </c>
      <c r="B342" s="7" t="s">
        <v>2467</v>
      </c>
      <c r="C342" s="8">
        <v>1</v>
      </c>
      <c r="D342" s="9">
        <v>10</v>
      </c>
      <c r="E342" s="9">
        <v>10</v>
      </c>
      <c r="F342" s="10">
        <v>24.99</v>
      </c>
      <c r="G342" s="9">
        <v>24.99</v>
      </c>
      <c r="H342" s="8" t="s">
        <v>4380</v>
      </c>
      <c r="I342" s="7" t="s">
        <v>3288</v>
      </c>
      <c r="J342" s="11" t="s">
        <v>3220</v>
      </c>
      <c r="K342" s="7" t="s">
        <v>3343</v>
      </c>
      <c r="L342" s="7" t="s">
        <v>3324</v>
      </c>
      <c r="M342" s="12"/>
    </row>
    <row r="343" spans="1:13" ht="15.2" customHeight="1" x14ac:dyDescent="0.2">
      <c r="A343" s="6" t="s">
        <v>2333</v>
      </c>
      <c r="B343" s="7" t="s">
        <v>2334</v>
      </c>
      <c r="C343" s="8">
        <v>1</v>
      </c>
      <c r="D343" s="9">
        <v>10</v>
      </c>
      <c r="E343" s="9">
        <v>10</v>
      </c>
      <c r="F343" s="10">
        <v>24.99</v>
      </c>
      <c r="G343" s="9">
        <v>24.99</v>
      </c>
      <c r="H343" s="8" t="s">
        <v>4380</v>
      </c>
      <c r="I343" s="7" t="s">
        <v>3381</v>
      </c>
      <c r="J343" s="11" t="s">
        <v>3220</v>
      </c>
      <c r="K343" s="7" t="s">
        <v>3343</v>
      </c>
      <c r="L343" s="7" t="s">
        <v>3324</v>
      </c>
      <c r="M343" s="12"/>
    </row>
    <row r="344" spans="1:13" ht="15.2" customHeight="1" x14ac:dyDescent="0.2">
      <c r="A344" s="6" t="s">
        <v>4381</v>
      </c>
      <c r="B344" s="7" t="s">
        <v>4382</v>
      </c>
      <c r="C344" s="8">
        <v>1</v>
      </c>
      <c r="D344" s="9">
        <v>10</v>
      </c>
      <c r="E344" s="9">
        <v>10</v>
      </c>
      <c r="F344" s="10">
        <v>24.99</v>
      </c>
      <c r="G344" s="9">
        <v>24.99</v>
      </c>
      <c r="H344" s="8" t="s">
        <v>4380</v>
      </c>
      <c r="I344" s="7" t="s">
        <v>3386</v>
      </c>
      <c r="J344" s="11" t="s">
        <v>3186</v>
      </c>
      <c r="K344" s="7" t="s">
        <v>3343</v>
      </c>
      <c r="L344" s="7" t="s">
        <v>3324</v>
      </c>
      <c r="M344" s="12"/>
    </row>
    <row r="345" spans="1:13" ht="15.2" customHeight="1" x14ac:dyDescent="0.2">
      <c r="A345" s="6" t="s">
        <v>3804</v>
      </c>
      <c r="B345" s="7" t="s">
        <v>3805</v>
      </c>
      <c r="C345" s="8">
        <v>1</v>
      </c>
      <c r="D345" s="9">
        <v>10</v>
      </c>
      <c r="E345" s="9">
        <v>10</v>
      </c>
      <c r="F345" s="10">
        <v>24.99</v>
      </c>
      <c r="G345" s="9">
        <v>24.99</v>
      </c>
      <c r="H345" s="8" t="s">
        <v>3806</v>
      </c>
      <c r="I345" s="7" t="s">
        <v>3394</v>
      </c>
      <c r="J345" s="11" t="s">
        <v>3231</v>
      </c>
      <c r="K345" s="7" t="s">
        <v>3323</v>
      </c>
      <c r="L345" s="7" t="s">
        <v>3418</v>
      </c>
      <c r="M345" s="12"/>
    </row>
    <row r="346" spans="1:13" ht="15.2" customHeight="1" x14ac:dyDescent="0.2">
      <c r="A346" s="6" t="s">
        <v>1517</v>
      </c>
      <c r="B346" s="7" t="s">
        <v>1518</v>
      </c>
      <c r="C346" s="8">
        <v>2</v>
      </c>
      <c r="D346" s="9">
        <v>10</v>
      </c>
      <c r="E346" s="9">
        <v>20</v>
      </c>
      <c r="F346" s="10">
        <v>24.99</v>
      </c>
      <c r="G346" s="9">
        <v>49.98</v>
      </c>
      <c r="H346" s="8" t="s">
        <v>4380</v>
      </c>
      <c r="I346" s="7" t="s">
        <v>3288</v>
      </c>
      <c r="J346" s="11" t="s">
        <v>3186</v>
      </c>
      <c r="K346" s="7" t="s">
        <v>3343</v>
      </c>
      <c r="L346" s="7" t="s">
        <v>3324</v>
      </c>
      <c r="M346" s="12"/>
    </row>
    <row r="347" spans="1:13" ht="15.2" customHeight="1" x14ac:dyDescent="0.2">
      <c r="A347" s="6" t="s">
        <v>1519</v>
      </c>
      <c r="B347" s="7" t="s">
        <v>1520</v>
      </c>
      <c r="C347" s="8">
        <v>1</v>
      </c>
      <c r="D347" s="9">
        <v>10</v>
      </c>
      <c r="E347" s="9">
        <v>10</v>
      </c>
      <c r="F347" s="10">
        <v>24.99</v>
      </c>
      <c r="G347" s="9">
        <v>24.99</v>
      </c>
      <c r="H347" s="8" t="s">
        <v>3806</v>
      </c>
      <c r="I347" s="7" t="s">
        <v>3185</v>
      </c>
      <c r="J347" s="11" t="s">
        <v>3202</v>
      </c>
      <c r="K347" s="7" t="s">
        <v>3323</v>
      </c>
      <c r="L347" s="7" t="s">
        <v>3418</v>
      </c>
      <c r="M347" s="12"/>
    </row>
    <row r="348" spans="1:13" ht="15.2" customHeight="1" x14ac:dyDescent="0.2">
      <c r="A348" s="6" t="s">
        <v>1521</v>
      </c>
      <c r="B348" s="7" t="s">
        <v>1522</v>
      </c>
      <c r="C348" s="8">
        <v>1</v>
      </c>
      <c r="D348" s="9">
        <v>10</v>
      </c>
      <c r="E348" s="9">
        <v>10</v>
      </c>
      <c r="F348" s="10">
        <v>24.99</v>
      </c>
      <c r="G348" s="9">
        <v>24.99</v>
      </c>
      <c r="H348" s="8" t="s">
        <v>3806</v>
      </c>
      <c r="I348" s="7" t="s">
        <v>3394</v>
      </c>
      <c r="J348" s="11" t="s">
        <v>3242</v>
      </c>
      <c r="K348" s="7" t="s">
        <v>3323</v>
      </c>
      <c r="L348" s="7" t="s">
        <v>3418</v>
      </c>
      <c r="M348" s="12"/>
    </row>
    <row r="349" spans="1:13" ht="15.2" customHeight="1" x14ac:dyDescent="0.2">
      <c r="A349" s="6" t="s">
        <v>1523</v>
      </c>
      <c r="B349" s="7" t="s">
        <v>1524</v>
      </c>
      <c r="C349" s="8">
        <v>1</v>
      </c>
      <c r="D349" s="9">
        <v>10</v>
      </c>
      <c r="E349" s="9">
        <v>10</v>
      </c>
      <c r="F349" s="10">
        <v>24.99</v>
      </c>
      <c r="G349" s="9">
        <v>24.99</v>
      </c>
      <c r="H349" s="8" t="s">
        <v>3806</v>
      </c>
      <c r="I349" s="7" t="s">
        <v>3394</v>
      </c>
      <c r="J349" s="11" t="s">
        <v>3186</v>
      </c>
      <c r="K349" s="7" t="s">
        <v>3323</v>
      </c>
      <c r="L349" s="7" t="s">
        <v>3418</v>
      </c>
      <c r="M349" s="12"/>
    </row>
    <row r="350" spans="1:13" ht="15.2" customHeight="1" x14ac:dyDescent="0.2">
      <c r="A350" s="6" t="s">
        <v>2331</v>
      </c>
      <c r="B350" s="7" t="s">
        <v>2332</v>
      </c>
      <c r="C350" s="8">
        <v>1</v>
      </c>
      <c r="D350" s="9">
        <v>10</v>
      </c>
      <c r="E350" s="9">
        <v>10</v>
      </c>
      <c r="F350" s="10">
        <v>24.99</v>
      </c>
      <c r="G350" s="9">
        <v>24.99</v>
      </c>
      <c r="H350" s="8" t="s">
        <v>4380</v>
      </c>
      <c r="I350" s="7" t="s">
        <v>3381</v>
      </c>
      <c r="J350" s="11" t="s">
        <v>3202</v>
      </c>
      <c r="K350" s="7" t="s">
        <v>3343</v>
      </c>
      <c r="L350" s="7" t="s">
        <v>3324</v>
      </c>
      <c r="M350" s="12"/>
    </row>
    <row r="351" spans="1:13" ht="15.2" customHeight="1" x14ac:dyDescent="0.2">
      <c r="A351" s="6" t="s">
        <v>1525</v>
      </c>
      <c r="B351" s="7" t="s">
        <v>1526</v>
      </c>
      <c r="C351" s="8">
        <v>1</v>
      </c>
      <c r="D351" s="9">
        <v>9.8000000000000007</v>
      </c>
      <c r="E351" s="9">
        <v>9.8000000000000007</v>
      </c>
      <c r="F351" s="10">
        <v>19.989999999999998</v>
      </c>
      <c r="G351" s="9">
        <v>19.989999999999998</v>
      </c>
      <c r="H351" s="8" t="s">
        <v>3812</v>
      </c>
      <c r="I351" s="7" t="s">
        <v>3432</v>
      </c>
      <c r="J351" s="11" t="s">
        <v>3231</v>
      </c>
      <c r="K351" s="7" t="s">
        <v>3323</v>
      </c>
      <c r="L351" s="7" t="s">
        <v>3344</v>
      </c>
      <c r="M351" s="12"/>
    </row>
    <row r="352" spans="1:13" ht="15.2" customHeight="1" x14ac:dyDescent="0.2">
      <c r="A352" s="6" t="s">
        <v>3810</v>
      </c>
      <c r="B352" s="7" t="s">
        <v>3811</v>
      </c>
      <c r="C352" s="8">
        <v>1</v>
      </c>
      <c r="D352" s="9">
        <v>9.8000000000000007</v>
      </c>
      <c r="E352" s="9">
        <v>9.8000000000000007</v>
      </c>
      <c r="F352" s="10">
        <v>19.989999999999998</v>
      </c>
      <c r="G352" s="9">
        <v>19.989999999999998</v>
      </c>
      <c r="H352" s="8" t="s">
        <v>3812</v>
      </c>
      <c r="I352" s="7" t="s">
        <v>3432</v>
      </c>
      <c r="J352" s="11" t="s">
        <v>3202</v>
      </c>
      <c r="K352" s="7" t="s">
        <v>3323</v>
      </c>
      <c r="L352" s="7" t="s">
        <v>3344</v>
      </c>
      <c r="M352" s="12"/>
    </row>
    <row r="353" spans="1:13" ht="15.2" customHeight="1" x14ac:dyDescent="0.2">
      <c r="A353" s="6" t="s">
        <v>1527</v>
      </c>
      <c r="B353" s="7" t="s">
        <v>1528</v>
      </c>
      <c r="C353" s="8">
        <v>1</v>
      </c>
      <c r="D353" s="9">
        <v>9.8000000000000007</v>
      </c>
      <c r="E353" s="9">
        <v>9.8000000000000007</v>
      </c>
      <c r="F353" s="10">
        <v>19.989999999999998</v>
      </c>
      <c r="G353" s="9">
        <v>19.989999999999998</v>
      </c>
      <c r="H353" s="8" t="s">
        <v>2468</v>
      </c>
      <c r="I353" s="7" t="s">
        <v>3433</v>
      </c>
      <c r="J353" s="11" t="s">
        <v>3186</v>
      </c>
      <c r="K353" s="7" t="s">
        <v>3323</v>
      </c>
      <c r="L353" s="7" t="s">
        <v>3344</v>
      </c>
      <c r="M353" s="12"/>
    </row>
    <row r="354" spans="1:13" ht="15.2" customHeight="1" x14ac:dyDescent="0.2">
      <c r="A354" s="6" t="s">
        <v>4183</v>
      </c>
      <c r="B354" s="7" t="s">
        <v>4184</v>
      </c>
      <c r="C354" s="8">
        <v>3</v>
      </c>
      <c r="D354" s="9">
        <v>9.8000000000000007</v>
      </c>
      <c r="E354" s="9">
        <v>29.4</v>
      </c>
      <c r="F354" s="10">
        <v>19.989999999999998</v>
      </c>
      <c r="G354" s="9">
        <v>59.97</v>
      </c>
      <c r="H354" s="8" t="s">
        <v>3809</v>
      </c>
      <c r="I354" s="7" t="s">
        <v>3321</v>
      </c>
      <c r="J354" s="11" t="s">
        <v>3186</v>
      </c>
      <c r="K354" s="7" t="s">
        <v>3323</v>
      </c>
      <c r="L354" s="7" t="s">
        <v>3344</v>
      </c>
      <c r="M354" s="12"/>
    </row>
    <row r="355" spans="1:13" ht="15.2" customHeight="1" x14ac:dyDescent="0.2">
      <c r="A355" s="6" t="s">
        <v>1529</v>
      </c>
      <c r="B355" s="7" t="s">
        <v>1530</v>
      </c>
      <c r="C355" s="8">
        <v>1</v>
      </c>
      <c r="D355" s="9">
        <v>9.8000000000000007</v>
      </c>
      <c r="E355" s="9">
        <v>9.8000000000000007</v>
      </c>
      <c r="F355" s="10">
        <v>19.989999999999998</v>
      </c>
      <c r="G355" s="9">
        <v>19.989999999999998</v>
      </c>
      <c r="H355" s="8" t="s">
        <v>4040</v>
      </c>
      <c r="I355" s="7" t="s">
        <v>3234</v>
      </c>
      <c r="J355" s="11" t="s">
        <v>3186</v>
      </c>
      <c r="K355" s="7" t="s">
        <v>3323</v>
      </c>
      <c r="L355" s="7" t="s">
        <v>3344</v>
      </c>
      <c r="M355" s="12"/>
    </row>
    <row r="356" spans="1:13" ht="15.2" customHeight="1" x14ac:dyDescent="0.2">
      <c r="A356" s="6" t="s">
        <v>4181</v>
      </c>
      <c r="B356" s="7" t="s">
        <v>4182</v>
      </c>
      <c r="C356" s="8">
        <v>1</v>
      </c>
      <c r="D356" s="9">
        <v>9.8000000000000007</v>
      </c>
      <c r="E356" s="9">
        <v>9.8000000000000007</v>
      </c>
      <c r="F356" s="10">
        <v>19.989999999999998</v>
      </c>
      <c r="G356" s="9">
        <v>19.989999999999998</v>
      </c>
      <c r="H356" s="8" t="s">
        <v>4040</v>
      </c>
      <c r="I356" s="7" t="s">
        <v>3234</v>
      </c>
      <c r="J356" s="11" t="s">
        <v>3220</v>
      </c>
      <c r="K356" s="7" t="s">
        <v>3323</v>
      </c>
      <c r="L356" s="7" t="s">
        <v>3344</v>
      </c>
      <c r="M356" s="12"/>
    </row>
    <row r="357" spans="1:13" ht="15.2" customHeight="1" x14ac:dyDescent="0.2">
      <c r="A357" s="6" t="s">
        <v>1531</v>
      </c>
      <c r="B357" s="7" t="s">
        <v>1532</v>
      </c>
      <c r="C357" s="8">
        <v>1</v>
      </c>
      <c r="D357" s="9">
        <v>9.5</v>
      </c>
      <c r="E357" s="9">
        <v>9.5</v>
      </c>
      <c r="F357" s="10">
        <v>39</v>
      </c>
      <c r="G357" s="9">
        <v>39</v>
      </c>
      <c r="H357" s="8" t="s">
        <v>1533</v>
      </c>
      <c r="I357" s="7" t="s">
        <v>3203</v>
      </c>
      <c r="J357" s="11" t="s">
        <v>3186</v>
      </c>
      <c r="K357" s="7" t="s">
        <v>3295</v>
      </c>
      <c r="L357" s="7" t="s">
        <v>3296</v>
      </c>
      <c r="M357" s="12"/>
    </row>
    <row r="358" spans="1:13" ht="15.2" customHeight="1" x14ac:dyDescent="0.2">
      <c r="A358" s="6" t="s">
        <v>4384</v>
      </c>
      <c r="B358" s="7" t="s">
        <v>4385</v>
      </c>
      <c r="C358" s="8">
        <v>1</v>
      </c>
      <c r="D358" s="9">
        <v>9.25</v>
      </c>
      <c r="E358" s="9">
        <v>9.25</v>
      </c>
      <c r="F358" s="10">
        <v>22.99</v>
      </c>
      <c r="G358" s="9">
        <v>22.99</v>
      </c>
      <c r="H358" s="8" t="s">
        <v>3569</v>
      </c>
      <c r="I358" s="7" t="s">
        <v>3333</v>
      </c>
      <c r="J358" s="11" t="s">
        <v>3186</v>
      </c>
      <c r="K358" s="7" t="s">
        <v>3323</v>
      </c>
      <c r="L358" s="7" t="s">
        <v>3356</v>
      </c>
      <c r="M358" s="12"/>
    </row>
    <row r="359" spans="1:13" ht="15.2" customHeight="1" x14ac:dyDescent="0.2">
      <c r="A359" s="6" t="s">
        <v>1534</v>
      </c>
      <c r="B359" s="7" t="s">
        <v>4043</v>
      </c>
      <c r="C359" s="8">
        <v>1</v>
      </c>
      <c r="D359" s="9">
        <v>9.1999999999999993</v>
      </c>
      <c r="E359" s="9">
        <v>9.1999999999999993</v>
      </c>
      <c r="F359" s="10">
        <v>21.99</v>
      </c>
      <c r="G359" s="9">
        <v>21.99</v>
      </c>
      <c r="H359" s="8" t="s">
        <v>4044</v>
      </c>
      <c r="I359" s="7" t="s">
        <v>3252</v>
      </c>
      <c r="J359" s="11" t="s">
        <v>3310</v>
      </c>
      <c r="K359" s="7" t="s">
        <v>3300</v>
      </c>
      <c r="L359" s="7" t="s">
        <v>3301</v>
      </c>
      <c r="M359" s="12"/>
    </row>
    <row r="360" spans="1:13" ht="15.2" customHeight="1" x14ac:dyDescent="0.2">
      <c r="A360" s="6" t="s">
        <v>1535</v>
      </c>
      <c r="B360" s="7" t="s">
        <v>4046</v>
      </c>
      <c r="C360" s="8">
        <v>1</v>
      </c>
      <c r="D360" s="9">
        <v>9.1999999999999993</v>
      </c>
      <c r="E360" s="9">
        <v>9.1999999999999993</v>
      </c>
      <c r="F360" s="10">
        <v>21.99</v>
      </c>
      <c r="G360" s="9">
        <v>21.99</v>
      </c>
      <c r="H360" s="8" t="s">
        <v>4047</v>
      </c>
      <c r="I360" s="7" t="s">
        <v>3185</v>
      </c>
      <c r="J360" s="11" t="s">
        <v>3202</v>
      </c>
      <c r="K360" s="7" t="s">
        <v>3300</v>
      </c>
      <c r="L360" s="7" t="s">
        <v>3301</v>
      </c>
      <c r="M360" s="12"/>
    </row>
    <row r="361" spans="1:13" ht="15.2" customHeight="1" x14ac:dyDescent="0.2">
      <c r="A361" s="6" t="s">
        <v>1536</v>
      </c>
      <c r="B361" s="7" t="s">
        <v>3817</v>
      </c>
      <c r="C361" s="8">
        <v>1</v>
      </c>
      <c r="D361" s="9">
        <v>8.94</v>
      </c>
      <c r="E361" s="9">
        <v>8.94</v>
      </c>
      <c r="F361" s="10">
        <v>24.5</v>
      </c>
      <c r="G361" s="9">
        <v>24.5</v>
      </c>
      <c r="H361" s="8" t="s">
        <v>3818</v>
      </c>
      <c r="I361" s="7" t="s">
        <v>3185</v>
      </c>
      <c r="J361" s="11" t="s">
        <v>3220</v>
      </c>
      <c r="K361" s="7" t="s">
        <v>3221</v>
      </c>
      <c r="L361" s="7" t="s">
        <v>3224</v>
      </c>
      <c r="M361" s="12"/>
    </row>
    <row r="362" spans="1:13" ht="15.2" customHeight="1" x14ac:dyDescent="0.2">
      <c r="A362" s="6" t="s">
        <v>2470</v>
      </c>
      <c r="B362" s="7" t="s">
        <v>3817</v>
      </c>
      <c r="C362" s="8">
        <v>1</v>
      </c>
      <c r="D362" s="9">
        <v>8.94</v>
      </c>
      <c r="E362" s="9">
        <v>8.94</v>
      </c>
      <c r="F362" s="10">
        <v>24.5</v>
      </c>
      <c r="G362" s="9">
        <v>24.5</v>
      </c>
      <c r="H362" s="8" t="s">
        <v>3818</v>
      </c>
      <c r="I362" s="7" t="s">
        <v>3185</v>
      </c>
      <c r="J362" s="11" t="s">
        <v>3231</v>
      </c>
      <c r="K362" s="7" t="s">
        <v>3221</v>
      </c>
      <c r="L362" s="7" t="s">
        <v>3224</v>
      </c>
      <c r="M362" s="12"/>
    </row>
    <row r="363" spans="1:13" ht="15.2" customHeight="1" x14ac:dyDescent="0.2">
      <c r="A363" s="6" t="s">
        <v>4395</v>
      </c>
      <c r="B363" s="7" t="s">
        <v>3817</v>
      </c>
      <c r="C363" s="8">
        <v>1</v>
      </c>
      <c r="D363" s="9">
        <v>8.94</v>
      </c>
      <c r="E363" s="9">
        <v>8.94</v>
      </c>
      <c r="F363" s="10">
        <v>24.5</v>
      </c>
      <c r="G363" s="9">
        <v>24.5</v>
      </c>
      <c r="H363" s="8" t="s">
        <v>3818</v>
      </c>
      <c r="I363" s="7" t="s">
        <v>3185</v>
      </c>
      <c r="J363" s="11" t="s">
        <v>3186</v>
      </c>
      <c r="K363" s="7" t="s">
        <v>3221</v>
      </c>
      <c r="L363" s="7" t="s">
        <v>3224</v>
      </c>
      <c r="M363" s="12"/>
    </row>
    <row r="364" spans="1:13" ht="15.2" customHeight="1" x14ac:dyDescent="0.2">
      <c r="A364" s="6" t="s">
        <v>3024</v>
      </c>
      <c r="B364" s="7" t="s">
        <v>3817</v>
      </c>
      <c r="C364" s="8">
        <v>1</v>
      </c>
      <c r="D364" s="9">
        <v>8.94</v>
      </c>
      <c r="E364" s="9">
        <v>8.94</v>
      </c>
      <c r="F364" s="10">
        <v>24.5</v>
      </c>
      <c r="G364" s="9">
        <v>24.5</v>
      </c>
      <c r="H364" s="8" t="s">
        <v>3818</v>
      </c>
      <c r="I364" s="7" t="s">
        <v>3681</v>
      </c>
      <c r="J364" s="11" t="s">
        <v>3186</v>
      </c>
      <c r="K364" s="7" t="s">
        <v>3221</v>
      </c>
      <c r="L364" s="7" t="s">
        <v>3224</v>
      </c>
      <c r="M364" s="12"/>
    </row>
    <row r="365" spans="1:13" ht="15.2" customHeight="1" x14ac:dyDescent="0.2">
      <c r="A365" s="6" t="s">
        <v>1537</v>
      </c>
      <c r="B365" s="7" t="s">
        <v>3817</v>
      </c>
      <c r="C365" s="8">
        <v>1</v>
      </c>
      <c r="D365" s="9">
        <v>8.94</v>
      </c>
      <c r="E365" s="9">
        <v>8.94</v>
      </c>
      <c r="F365" s="10">
        <v>24.5</v>
      </c>
      <c r="G365" s="9">
        <v>24.5</v>
      </c>
      <c r="H365" s="8" t="s">
        <v>3818</v>
      </c>
      <c r="I365" s="7" t="s">
        <v>3185</v>
      </c>
      <c r="J365" s="11" t="s">
        <v>3202</v>
      </c>
      <c r="K365" s="7" t="s">
        <v>3221</v>
      </c>
      <c r="L365" s="7" t="s">
        <v>3224</v>
      </c>
      <c r="M365" s="12"/>
    </row>
    <row r="366" spans="1:13" ht="15.2" customHeight="1" x14ac:dyDescent="0.2">
      <c r="A366" s="6" t="s">
        <v>1538</v>
      </c>
      <c r="B366" s="7" t="s">
        <v>1539</v>
      </c>
      <c r="C366" s="8">
        <v>1</v>
      </c>
      <c r="D366" s="9">
        <v>8.5</v>
      </c>
      <c r="E366" s="9">
        <v>8.5</v>
      </c>
      <c r="F366" s="10">
        <v>19.989999999999998</v>
      </c>
      <c r="G366" s="9">
        <v>19.989999999999998</v>
      </c>
      <c r="H366" s="8" t="s">
        <v>3574</v>
      </c>
      <c r="I366" s="7" t="s">
        <v>3214</v>
      </c>
      <c r="J366" s="11" t="s">
        <v>3202</v>
      </c>
      <c r="K366" s="7" t="s">
        <v>3387</v>
      </c>
      <c r="L366" s="7" t="s">
        <v>3404</v>
      </c>
      <c r="M366" s="12"/>
    </row>
    <row r="367" spans="1:13" ht="15.2" customHeight="1" x14ac:dyDescent="0.2">
      <c r="A367" s="6" t="s">
        <v>1540</v>
      </c>
      <c r="B367" s="7" t="s">
        <v>1541</v>
      </c>
      <c r="C367" s="8">
        <v>1</v>
      </c>
      <c r="D367" s="9">
        <v>8.5</v>
      </c>
      <c r="E367" s="9">
        <v>8.5</v>
      </c>
      <c r="F367" s="10">
        <v>19.989999999999998</v>
      </c>
      <c r="G367" s="9">
        <v>19.989999999999998</v>
      </c>
      <c r="H367" s="8" t="s">
        <v>1542</v>
      </c>
      <c r="I367" s="7" t="s">
        <v>3339</v>
      </c>
      <c r="J367" s="11" t="s">
        <v>3220</v>
      </c>
      <c r="K367" s="7" t="s">
        <v>3387</v>
      </c>
      <c r="L367" s="7" t="s">
        <v>3407</v>
      </c>
      <c r="M367" s="12"/>
    </row>
    <row r="368" spans="1:13" ht="15.2" customHeight="1" x14ac:dyDescent="0.2">
      <c r="A368" s="6" t="s">
        <v>1543</v>
      </c>
      <c r="B368" s="7" t="s">
        <v>1544</v>
      </c>
      <c r="C368" s="8">
        <v>1</v>
      </c>
      <c r="D368" s="9">
        <v>8.5</v>
      </c>
      <c r="E368" s="9">
        <v>8.5</v>
      </c>
      <c r="F368" s="10">
        <v>19.989999999999998</v>
      </c>
      <c r="G368" s="9">
        <v>19.989999999999998</v>
      </c>
      <c r="H368" s="8" t="s">
        <v>3574</v>
      </c>
      <c r="I368" s="7" t="s">
        <v>3214</v>
      </c>
      <c r="J368" s="11" t="s">
        <v>3231</v>
      </c>
      <c r="K368" s="7" t="s">
        <v>3387</v>
      </c>
      <c r="L368" s="7" t="s">
        <v>3404</v>
      </c>
      <c r="M368" s="12"/>
    </row>
    <row r="369" spans="1:13" ht="15.2" customHeight="1" x14ac:dyDescent="0.2">
      <c r="A369" s="6" t="s">
        <v>4396</v>
      </c>
      <c r="B369" s="7" t="s">
        <v>4397</v>
      </c>
      <c r="C369" s="8">
        <v>1</v>
      </c>
      <c r="D369" s="9">
        <v>8.5</v>
      </c>
      <c r="E369" s="9">
        <v>8.5</v>
      </c>
      <c r="F369" s="10">
        <v>19.989999999999998</v>
      </c>
      <c r="G369" s="9">
        <v>19.989999999999998</v>
      </c>
      <c r="H369" s="8" t="s">
        <v>3579</v>
      </c>
      <c r="I369" s="7" t="s">
        <v>3214</v>
      </c>
      <c r="J369" s="11" t="s">
        <v>3202</v>
      </c>
      <c r="K369" s="7" t="s">
        <v>3387</v>
      </c>
      <c r="L369" s="7" t="s">
        <v>3404</v>
      </c>
      <c r="M369" s="12"/>
    </row>
    <row r="370" spans="1:13" ht="15.2" customHeight="1" x14ac:dyDescent="0.2">
      <c r="A370" s="6" t="s">
        <v>4201</v>
      </c>
      <c r="B370" s="7" t="s">
        <v>4202</v>
      </c>
      <c r="C370" s="8">
        <v>1</v>
      </c>
      <c r="D370" s="9">
        <v>8.5</v>
      </c>
      <c r="E370" s="9">
        <v>8.5</v>
      </c>
      <c r="F370" s="10">
        <v>19.989999999999998</v>
      </c>
      <c r="G370" s="9">
        <v>19.989999999999998</v>
      </c>
      <c r="H370" s="8" t="s">
        <v>3579</v>
      </c>
      <c r="I370" s="7" t="s">
        <v>3214</v>
      </c>
      <c r="J370" s="11" t="s">
        <v>3186</v>
      </c>
      <c r="K370" s="7" t="s">
        <v>3387</v>
      </c>
      <c r="L370" s="7" t="s">
        <v>3404</v>
      </c>
      <c r="M370" s="12"/>
    </row>
    <row r="371" spans="1:13" ht="15.2" customHeight="1" x14ac:dyDescent="0.2">
      <c r="A371" s="6" t="s">
        <v>3577</v>
      </c>
      <c r="B371" s="7" t="s">
        <v>3578</v>
      </c>
      <c r="C371" s="8">
        <v>1</v>
      </c>
      <c r="D371" s="9">
        <v>8.5</v>
      </c>
      <c r="E371" s="9">
        <v>8.5</v>
      </c>
      <c r="F371" s="10">
        <v>19.989999999999998</v>
      </c>
      <c r="G371" s="9">
        <v>19.989999999999998</v>
      </c>
      <c r="H371" s="8" t="s">
        <v>3579</v>
      </c>
      <c r="I371" s="7" t="s">
        <v>3214</v>
      </c>
      <c r="J371" s="11" t="s">
        <v>3231</v>
      </c>
      <c r="K371" s="7" t="s">
        <v>3387</v>
      </c>
      <c r="L371" s="7" t="s">
        <v>3404</v>
      </c>
      <c r="M371" s="12"/>
    </row>
    <row r="372" spans="1:13" ht="15.2" customHeight="1" x14ac:dyDescent="0.2">
      <c r="A372" s="6" t="s">
        <v>1545</v>
      </c>
      <c r="B372" s="7" t="s">
        <v>3581</v>
      </c>
      <c r="C372" s="8">
        <v>1</v>
      </c>
      <c r="D372" s="9">
        <v>8.25</v>
      </c>
      <c r="E372" s="9">
        <v>8.25</v>
      </c>
      <c r="F372" s="10">
        <v>19.989999999999998</v>
      </c>
      <c r="G372" s="9">
        <v>19.989999999999998</v>
      </c>
      <c r="H372" s="8" t="s">
        <v>3582</v>
      </c>
      <c r="I372" s="7" t="s">
        <v>3203</v>
      </c>
      <c r="J372" s="11" t="s">
        <v>3202</v>
      </c>
      <c r="K372" s="7" t="s">
        <v>3323</v>
      </c>
      <c r="L372" s="7" t="s">
        <v>3369</v>
      </c>
      <c r="M372" s="12"/>
    </row>
    <row r="373" spans="1:13" ht="15.2" customHeight="1" x14ac:dyDescent="0.2">
      <c r="A373" s="6" t="s">
        <v>3580</v>
      </c>
      <c r="B373" s="7" t="s">
        <v>3581</v>
      </c>
      <c r="C373" s="8">
        <v>2</v>
      </c>
      <c r="D373" s="9">
        <v>8.25</v>
      </c>
      <c r="E373" s="9">
        <v>16.5</v>
      </c>
      <c r="F373" s="10">
        <v>19.989999999999998</v>
      </c>
      <c r="G373" s="9">
        <v>39.979999999999997</v>
      </c>
      <c r="H373" s="8" t="s">
        <v>3582</v>
      </c>
      <c r="I373" s="7" t="s">
        <v>3203</v>
      </c>
      <c r="J373" s="11" t="s">
        <v>3242</v>
      </c>
      <c r="K373" s="7" t="s">
        <v>3323</v>
      </c>
      <c r="L373" s="7" t="s">
        <v>3369</v>
      </c>
      <c r="M373" s="12"/>
    </row>
    <row r="374" spans="1:13" ht="15.2" customHeight="1" x14ac:dyDescent="0.2">
      <c r="A374" s="6" t="s">
        <v>1546</v>
      </c>
      <c r="B374" s="7" t="s">
        <v>3581</v>
      </c>
      <c r="C374" s="8">
        <v>4</v>
      </c>
      <c r="D374" s="9">
        <v>8.25</v>
      </c>
      <c r="E374" s="9">
        <v>33</v>
      </c>
      <c r="F374" s="10">
        <v>19.989999999999998</v>
      </c>
      <c r="G374" s="9">
        <v>79.959999999999994</v>
      </c>
      <c r="H374" s="8" t="s">
        <v>3582</v>
      </c>
      <c r="I374" s="7" t="s">
        <v>3203</v>
      </c>
      <c r="J374" s="11" t="s">
        <v>3220</v>
      </c>
      <c r="K374" s="7" t="s">
        <v>3323</v>
      </c>
      <c r="L374" s="7" t="s">
        <v>3369</v>
      </c>
      <c r="M374" s="12"/>
    </row>
    <row r="375" spans="1:13" ht="15.2" customHeight="1" x14ac:dyDescent="0.2">
      <c r="A375" s="6" t="s">
        <v>1547</v>
      </c>
      <c r="B375" s="7" t="s">
        <v>1548</v>
      </c>
      <c r="C375" s="8">
        <v>1</v>
      </c>
      <c r="D375" s="9">
        <v>8.25</v>
      </c>
      <c r="E375" s="9">
        <v>8.25</v>
      </c>
      <c r="F375" s="10">
        <v>19.989999999999998</v>
      </c>
      <c r="G375" s="9">
        <v>19.989999999999998</v>
      </c>
      <c r="H375" s="8" t="s">
        <v>1549</v>
      </c>
      <c r="I375" s="7" t="s">
        <v>3386</v>
      </c>
      <c r="J375" s="11" t="s">
        <v>3186</v>
      </c>
      <c r="K375" s="7" t="s">
        <v>3323</v>
      </c>
      <c r="L375" s="7" t="s">
        <v>3407</v>
      </c>
      <c r="M375" s="12"/>
    </row>
    <row r="376" spans="1:13" ht="15.2" customHeight="1" x14ac:dyDescent="0.2">
      <c r="A376" s="6" t="s">
        <v>1550</v>
      </c>
      <c r="B376" s="7" t="s">
        <v>1551</v>
      </c>
      <c r="C376" s="8">
        <v>1</v>
      </c>
      <c r="D376" s="9">
        <v>8</v>
      </c>
      <c r="E376" s="9">
        <v>8</v>
      </c>
      <c r="F376" s="10">
        <v>19.989999999999998</v>
      </c>
      <c r="G376" s="9">
        <v>19.989999999999998</v>
      </c>
      <c r="H376" s="8" t="s">
        <v>1552</v>
      </c>
      <c r="I376" s="7" t="s">
        <v>3394</v>
      </c>
      <c r="J376" s="11" t="s">
        <v>3220</v>
      </c>
      <c r="K376" s="7" t="s">
        <v>3323</v>
      </c>
      <c r="L376" s="7" t="s">
        <v>3356</v>
      </c>
      <c r="M376" s="12"/>
    </row>
    <row r="377" spans="1:13" ht="15.2" customHeight="1" x14ac:dyDescent="0.2">
      <c r="A377" s="6" t="s">
        <v>3030</v>
      </c>
      <c r="B377" s="7" t="s">
        <v>3031</v>
      </c>
      <c r="C377" s="8">
        <v>2</v>
      </c>
      <c r="D377" s="9">
        <v>7.95</v>
      </c>
      <c r="E377" s="9">
        <v>15.9</v>
      </c>
      <c r="F377" s="10">
        <v>19.989999999999998</v>
      </c>
      <c r="G377" s="9">
        <v>39.979999999999997</v>
      </c>
      <c r="H377" s="8" t="s">
        <v>3582</v>
      </c>
      <c r="I377" s="7" t="s">
        <v>3203</v>
      </c>
      <c r="J377" s="11" t="s">
        <v>3186</v>
      </c>
      <c r="K377" s="7" t="s">
        <v>3323</v>
      </c>
      <c r="L377" s="7" t="s">
        <v>3369</v>
      </c>
      <c r="M377" s="12"/>
    </row>
    <row r="378" spans="1:13" ht="15.2" customHeight="1" x14ac:dyDescent="0.2">
      <c r="A378" s="6" t="s">
        <v>1553</v>
      </c>
      <c r="B378" s="7" t="s">
        <v>1554</v>
      </c>
      <c r="C378" s="8">
        <v>1</v>
      </c>
      <c r="D378" s="9">
        <v>7.95</v>
      </c>
      <c r="E378" s="9">
        <v>7.95</v>
      </c>
      <c r="F378" s="10">
        <v>19.989999999999998</v>
      </c>
      <c r="G378" s="9">
        <v>19.989999999999998</v>
      </c>
      <c r="H378" s="8" t="s">
        <v>3582</v>
      </c>
      <c r="I378" s="7" t="s">
        <v>3203</v>
      </c>
      <c r="J378" s="11" t="s">
        <v>3202</v>
      </c>
      <c r="K378" s="7" t="s">
        <v>3323</v>
      </c>
      <c r="L378" s="7" t="s">
        <v>3369</v>
      </c>
      <c r="M378" s="12"/>
    </row>
    <row r="379" spans="1:13" ht="15.2" customHeight="1" x14ac:dyDescent="0.2">
      <c r="A379" s="6" t="s">
        <v>3590</v>
      </c>
      <c r="B379" s="7" t="s">
        <v>3591</v>
      </c>
      <c r="C379" s="8">
        <v>2</v>
      </c>
      <c r="D379" s="9">
        <v>7.9</v>
      </c>
      <c r="E379" s="9">
        <v>15.8</v>
      </c>
      <c r="F379" s="10">
        <v>19.989999999999998</v>
      </c>
      <c r="G379" s="9">
        <v>39.979999999999997</v>
      </c>
      <c r="H379" s="8" t="s">
        <v>3587</v>
      </c>
      <c r="I379" s="7" t="s">
        <v>3203</v>
      </c>
      <c r="J379" s="11" t="s">
        <v>3231</v>
      </c>
      <c r="K379" s="7" t="s">
        <v>3387</v>
      </c>
      <c r="L379" s="7" t="s">
        <v>3425</v>
      </c>
      <c r="M379" s="12"/>
    </row>
    <row r="380" spans="1:13" ht="15.2" customHeight="1" x14ac:dyDescent="0.2">
      <c r="A380" s="6" t="s">
        <v>4208</v>
      </c>
      <c r="B380" s="7" t="s">
        <v>4209</v>
      </c>
      <c r="C380" s="8">
        <v>1</v>
      </c>
      <c r="D380" s="9">
        <v>7.7</v>
      </c>
      <c r="E380" s="9">
        <v>7.7</v>
      </c>
      <c r="F380" s="10">
        <v>18.989999999999998</v>
      </c>
      <c r="G380" s="9">
        <v>18.989999999999998</v>
      </c>
      <c r="H380" s="8" t="s">
        <v>4207</v>
      </c>
      <c r="I380" s="7" t="s">
        <v>3286</v>
      </c>
      <c r="J380" s="11" t="s">
        <v>3220</v>
      </c>
      <c r="K380" s="7" t="s">
        <v>3334</v>
      </c>
      <c r="L380" s="7" t="s">
        <v>3324</v>
      </c>
      <c r="M380" s="12"/>
    </row>
    <row r="381" spans="1:13" ht="15.2" customHeight="1" x14ac:dyDescent="0.2">
      <c r="A381" s="6" t="s">
        <v>1555</v>
      </c>
      <c r="B381" s="7" t="s">
        <v>2471</v>
      </c>
      <c r="C381" s="8">
        <v>1</v>
      </c>
      <c r="D381" s="9">
        <v>7.5</v>
      </c>
      <c r="E381" s="9">
        <v>7.5</v>
      </c>
      <c r="F381" s="10">
        <v>39</v>
      </c>
      <c r="G381" s="9">
        <v>39</v>
      </c>
      <c r="H381" s="8" t="s">
        <v>2472</v>
      </c>
      <c r="I381" s="7"/>
      <c r="J381" s="11" t="s">
        <v>3186</v>
      </c>
      <c r="K381" s="7" t="s">
        <v>3295</v>
      </c>
      <c r="L381" s="7" t="s">
        <v>3296</v>
      </c>
      <c r="M381" s="12"/>
    </row>
    <row r="382" spans="1:13" ht="15.2" customHeight="1" x14ac:dyDescent="0.2">
      <c r="A382" s="6" t="s">
        <v>1556</v>
      </c>
      <c r="B382" s="7" t="s">
        <v>1557</v>
      </c>
      <c r="C382" s="8">
        <v>1</v>
      </c>
      <c r="D382" s="9">
        <v>7</v>
      </c>
      <c r="E382" s="9">
        <v>7</v>
      </c>
      <c r="F382" s="10">
        <v>16.989999999999998</v>
      </c>
      <c r="G382" s="9">
        <v>16.989999999999998</v>
      </c>
      <c r="H382" s="8" t="s">
        <v>4049</v>
      </c>
      <c r="I382" s="7" t="s">
        <v>3386</v>
      </c>
      <c r="J382" s="11" t="s">
        <v>3186</v>
      </c>
      <c r="K382" s="7" t="s">
        <v>3343</v>
      </c>
      <c r="L382" s="7" t="s">
        <v>3324</v>
      </c>
      <c r="M382" s="12"/>
    </row>
    <row r="383" spans="1:13" ht="15.2" customHeight="1" x14ac:dyDescent="0.2">
      <c r="A383" s="6" t="s">
        <v>1558</v>
      </c>
      <c r="B383" s="7" t="s">
        <v>1559</v>
      </c>
      <c r="C383" s="8">
        <v>1</v>
      </c>
      <c r="D383" s="9">
        <v>6.5</v>
      </c>
      <c r="E383" s="9">
        <v>6.5</v>
      </c>
      <c r="F383" s="10">
        <v>12.99</v>
      </c>
      <c r="G383" s="9">
        <v>12.99</v>
      </c>
      <c r="H383" s="8" t="s">
        <v>1560</v>
      </c>
      <c r="I383" s="7" t="s">
        <v>3321</v>
      </c>
      <c r="J383" s="11" t="s">
        <v>3231</v>
      </c>
      <c r="K383" s="7" t="s">
        <v>3387</v>
      </c>
      <c r="L383" s="7" t="s">
        <v>3344</v>
      </c>
      <c r="M383" s="12"/>
    </row>
    <row r="384" spans="1:13" ht="15.2" customHeight="1" x14ac:dyDescent="0.2">
      <c r="A384" s="6" t="s">
        <v>1561</v>
      </c>
      <c r="B384" s="7" t="s">
        <v>4211</v>
      </c>
      <c r="C384" s="8">
        <v>1</v>
      </c>
      <c r="D384" s="9">
        <v>6.32</v>
      </c>
      <c r="E384" s="9">
        <v>6.32</v>
      </c>
      <c r="F384" s="10">
        <v>14.99</v>
      </c>
      <c r="G384" s="9">
        <v>14.99</v>
      </c>
      <c r="H384" s="8" t="s">
        <v>4212</v>
      </c>
      <c r="I384" s="7" t="s">
        <v>3394</v>
      </c>
      <c r="J384" s="11" t="s">
        <v>3202</v>
      </c>
      <c r="K384" s="7" t="s">
        <v>3300</v>
      </c>
      <c r="L384" s="7" t="s">
        <v>3301</v>
      </c>
      <c r="M384" s="12"/>
    </row>
    <row r="385" spans="1:13" ht="15.2" customHeight="1" x14ac:dyDescent="0.2">
      <c r="A385" s="6" t="s">
        <v>1562</v>
      </c>
      <c r="B385" s="7" t="s">
        <v>1563</v>
      </c>
      <c r="C385" s="8">
        <v>1</v>
      </c>
      <c r="D385" s="9">
        <v>6.25</v>
      </c>
      <c r="E385" s="9">
        <v>6.25</v>
      </c>
      <c r="F385" s="10">
        <v>14.99</v>
      </c>
      <c r="G385" s="9">
        <v>14.99</v>
      </c>
      <c r="H385" s="8" t="s">
        <v>1564</v>
      </c>
      <c r="I385" s="7" t="s">
        <v>3252</v>
      </c>
      <c r="J385" s="11" t="s">
        <v>3242</v>
      </c>
      <c r="K385" s="7" t="s">
        <v>3300</v>
      </c>
      <c r="L385" s="7" t="s">
        <v>3301</v>
      </c>
      <c r="M385" s="12"/>
    </row>
    <row r="386" spans="1:13" ht="15.2" customHeight="1" x14ac:dyDescent="0.2">
      <c r="A386" s="6" t="s">
        <v>1565</v>
      </c>
      <c r="B386" s="7" t="s">
        <v>1566</v>
      </c>
      <c r="C386" s="8">
        <v>1</v>
      </c>
      <c r="D386" s="9">
        <v>6.25</v>
      </c>
      <c r="E386" s="9">
        <v>6.25</v>
      </c>
      <c r="F386" s="10">
        <v>13.99</v>
      </c>
      <c r="G386" s="9">
        <v>13.99</v>
      </c>
      <c r="H386" s="8" t="s">
        <v>3598</v>
      </c>
      <c r="I386" s="7" t="s">
        <v>3185</v>
      </c>
      <c r="J386" s="11" t="s">
        <v>3202</v>
      </c>
      <c r="K386" s="7" t="s">
        <v>3387</v>
      </c>
      <c r="L386" s="7" t="s">
        <v>3371</v>
      </c>
      <c r="M386" s="12"/>
    </row>
    <row r="387" spans="1:13" ht="15.2" customHeight="1" x14ac:dyDescent="0.2">
      <c r="A387" s="6" t="s">
        <v>1567</v>
      </c>
      <c r="B387" s="7" t="s">
        <v>2188</v>
      </c>
      <c r="C387" s="8">
        <v>1</v>
      </c>
      <c r="D387" s="9">
        <v>6.25</v>
      </c>
      <c r="E387" s="9">
        <v>6.25</v>
      </c>
      <c r="F387" s="10">
        <v>14.99</v>
      </c>
      <c r="G387" s="9">
        <v>14.99</v>
      </c>
      <c r="H387" s="8" t="s">
        <v>2189</v>
      </c>
      <c r="I387" s="7" t="s">
        <v>3355</v>
      </c>
      <c r="J387" s="11" t="s">
        <v>3242</v>
      </c>
      <c r="K387" s="7" t="s">
        <v>3300</v>
      </c>
      <c r="L387" s="7" t="s">
        <v>3301</v>
      </c>
      <c r="M387" s="12"/>
    </row>
    <row r="388" spans="1:13" ht="15.2" customHeight="1" x14ac:dyDescent="0.2">
      <c r="A388" s="6" t="s">
        <v>4401</v>
      </c>
      <c r="B388" s="7" t="s">
        <v>2188</v>
      </c>
      <c r="C388" s="8">
        <v>1</v>
      </c>
      <c r="D388" s="9">
        <v>6.25</v>
      </c>
      <c r="E388" s="9">
        <v>6.25</v>
      </c>
      <c r="F388" s="10">
        <v>14.99</v>
      </c>
      <c r="G388" s="9">
        <v>14.99</v>
      </c>
      <c r="H388" s="8" t="s">
        <v>2189</v>
      </c>
      <c r="I388" s="7" t="s">
        <v>3355</v>
      </c>
      <c r="J388" s="11" t="s">
        <v>3220</v>
      </c>
      <c r="K388" s="7" t="s">
        <v>3300</v>
      </c>
      <c r="L388" s="7" t="s">
        <v>3301</v>
      </c>
      <c r="M388" s="12"/>
    </row>
    <row r="389" spans="1:13" ht="15.2" customHeight="1" x14ac:dyDescent="0.2">
      <c r="A389" s="6" t="s">
        <v>1568</v>
      </c>
      <c r="B389" s="7" t="s">
        <v>1569</v>
      </c>
      <c r="C389" s="8">
        <v>1</v>
      </c>
      <c r="D389" s="9">
        <v>5.95</v>
      </c>
      <c r="E389" s="9">
        <v>5.95</v>
      </c>
      <c r="F389" s="10">
        <v>19.989999999999998</v>
      </c>
      <c r="G389" s="9">
        <v>19.989999999999998</v>
      </c>
      <c r="H389" s="8" t="s">
        <v>2190</v>
      </c>
      <c r="I389" s="7" t="s">
        <v>3382</v>
      </c>
      <c r="J389" s="11" t="s">
        <v>3186</v>
      </c>
      <c r="K389" s="7" t="s">
        <v>3323</v>
      </c>
      <c r="L389" s="7" t="s">
        <v>3369</v>
      </c>
      <c r="M389" s="12"/>
    </row>
    <row r="390" spans="1:13" ht="15.2" customHeight="1" x14ac:dyDescent="0.2">
      <c r="A390" s="6" t="s">
        <v>1570</v>
      </c>
      <c r="B390" s="7" t="s">
        <v>1571</v>
      </c>
      <c r="C390" s="8">
        <v>1</v>
      </c>
      <c r="D390" s="9">
        <v>5.95</v>
      </c>
      <c r="E390" s="9">
        <v>5.95</v>
      </c>
      <c r="F390" s="10">
        <v>19.989999999999998</v>
      </c>
      <c r="G390" s="9">
        <v>19.989999999999998</v>
      </c>
      <c r="H390" s="8" t="s">
        <v>2190</v>
      </c>
      <c r="I390" s="7" t="s">
        <v>3382</v>
      </c>
      <c r="J390" s="11" t="s">
        <v>3220</v>
      </c>
      <c r="K390" s="7" t="s">
        <v>3323</v>
      </c>
      <c r="L390" s="7" t="s">
        <v>3369</v>
      </c>
      <c r="M390" s="12"/>
    </row>
    <row r="391" spans="1:13" ht="15.2" customHeight="1" x14ac:dyDescent="0.2">
      <c r="A391" s="6" t="s">
        <v>1572</v>
      </c>
      <c r="B391" s="7" t="s">
        <v>2475</v>
      </c>
      <c r="C391" s="8">
        <v>1</v>
      </c>
      <c r="D391" s="9">
        <v>5.75</v>
      </c>
      <c r="E391" s="9">
        <v>5.75</v>
      </c>
      <c r="F391" s="10">
        <v>12.99</v>
      </c>
      <c r="G391" s="9">
        <v>12.99</v>
      </c>
      <c r="H391" s="8" t="s">
        <v>2476</v>
      </c>
      <c r="I391" s="7" t="s">
        <v>3185</v>
      </c>
      <c r="J391" s="11" t="s">
        <v>3231</v>
      </c>
      <c r="K391" s="7" t="s">
        <v>3387</v>
      </c>
      <c r="L391" s="7" t="s">
        <v>3440</v>
      </c>
      <c r="M391" s="12"/>
    </row>
    <row r="392" spans="1:13" ht="15.2" customHeight="1" x14ac:dyDescent="0.2">
      <c r="A392" s="6" t="s">
        <v>1573</v>
      </c>
      <c r="B392" s="7" t="s">
        <v>2475</v>
      </c>
      <c r="C392" s="8">
        <v>1</v>
      </c>
      <c r="D392" s="9">
        <v>5.75</v>
      </c>
      <c r="E392" s="9">
        <v>5.75</v>
      </c>
      <c r="F392" s="10">
        <v>12.99</v>
      </c>
      <c r="G392" s="9">
        <v>12.99</v>
      </c>
      <c r="H392" s="8" t="s">
        <v>2476</v>
      </c>
      <c r="I392" s="7" t="s">
        <v>3185</v>
      </c>
      <c r="J392" s="11" t="s">
        <v>3186</v>
      </c>
      <c r="K392" s="7" t="s">
        <v>3387</v>
      </c>
      <c r="L392" s="7" t="s">
        <v>3440</v>
      </c>
      <c r="M392" s="12"/>
    </row>
    <row r="393" spans="1:13" ht="15.2" customHeight="1" x14ac:dyDescent="0.2">
      <c r="A393" s="6" t="s">
        <v>1574</v>
      </c>
      <c r="B393" s="7" t="s">
        <v>3602</v>
      </c>
      <c r="C393" s="8">
        <v>2</v>
      </c>
      <c r="D393" s="9">
        <v>5.75</v>
      </c>
      <c r="E393" s="9">
        <v>11.5</v>
      </c>
      <c r="F393" s="10">
        <v>12.99</v>
      </c>
      <c r="G393" s="9">
        <v>25.98</v>
      </c>
      <c r="H393" s="8" t="s">
        <v>3603</v>
      </c>
      <c r="I393" s="7" t="s">
        <v>3185</v>
      </c>
      <c r="J393" s="11" t="s">
        <v>3186</v>
      </c>
      <c r="K393" s="7" t="s">
        <v>3387</v>
      </c>
      <c r="L393" s="7" t="s">
        <v>3440</v>
      </c>
      <c r="M393" s="12"/>
    </row>
    <row r="394" spans="1:13" ht="15.2" customHeight="1" x14ac:dyDescent="0.2">
      <c r="A394" s="6" t="s">
        <v>2194</v>
      </c>
      <c r="B394" s="7" t="s">
        <v>2192</v>
      </c>
      <c r="C394" s="8">
        <v>1</v>
      </c>
      <c r="D394" s="9">
        <v>5.65</v>
      </c>
      <c r="E394" s="9">
        <v>5.65</v>
      </c>
      <c r="F394" s="10">
        <v>12.99</v>
      </c>
      <c r="G394" s="9">
        <v>12.99</v>
      </c>
      <c r="H394" s="8" t="s">
        <v>2193</v>
      </c>
      <c r="I394" s="7" t="s">
        <v>3386</v>
      </c>
      <c r="J394" s="11" t="s">
        <v>3186</v>
      </c>
      <c r="K394" s="7" t="s">
        <v>3387</v>
      </c>
      <c r="L394" s="7" t="s">
        <v>3443</v>
      </c>
      <c r="M394" s="12"/>
    </row>
    <row r="395" spans="1:13" ht="15.2" customHeight="1" x14ac:dyDescent="0.2">
      <c r="A395" s="6" t="s">
        <v>1575</v>
      </c>
      <c r="B395" s="7" t="s">
        <v>1576</v>
      </c>
      <c r="C395" s="8">
        <v>2</v>
      </c>
      <c r="D395" s="9">
        <v>5.5</v>
      </c>
      <c r="E395" s="9">
        <v>11</v>
      </c>
      <c r="F395" s="10">
        <v>12.99</v>
      </c>
      <c r="G395" s="9">
        <v>25.98</v>
      </c>
      <c r="H395" s="8" t="s">
        <v>1577</v>
      </c>
      <c r="I395" s="7" t="s">
        <v>3185</v>
      </c>
      <c r="J395" s="11" t="s">
        <v>3186</v>
      </c>
      <c r="K395" s="7" t="s">
        <v>3387</v>
      </c>
      <c r="L395" s="7" t="s">
        <v>3388</v>
      </c>
      <c r="M395" s="12"/>
    </row>
    <row r="396" spans="1:13" ht="15.2" customHeight="1" x14ac:dyDescent="0.2">
      <c r="A396" s="6" t="s">
        <v>3622</v>
      </c>
      <c r="B396" s="7" t="s">
        <v>3614</v>
      </c>
      <c r="C396" s="8">
        <v>1</v>
      </c>
      <c r="D396" s="9">
        <v>5.5</v>
      </c>
      <c r="E396" s="9">
        <v>5.5</v>
      </c>
      <c r="F396" s="10">
        <v>12.99</v>
      </c>
      <c r="G396" s="9">
        <v>12.99</v>
      </c>
      <c r="H396" s="8" t="s">
        <v>3615</v>
      </c>
      <c r="I396" s="7" t="s">
        <v>3252</v>
      </c>
      <c r="J396" s="11" t="s">
        <v>3186</v>
      </c>
      <c r="K396" s="7" t="s">
        <v>3387</v>
      </c>
      <c r="L396" s="7" t="s">
        <v>3404</v>
      </c>
      <c r="M396" s="12"/>
    </row>
    <row r="397" spans="1:13" ht="15.2" customHeight="1" x14ac:dyDescent="0.2">
      <c r="A397" s="6" t="s">
        <v>1578</v>
      </c>
      <c r="B397" s="7" t="s">
        <v>1579</v>
      </c>
      <c r="C397" s="8">
        <v>1</v>
      </c>
      <c r="D397" s="9">
        <v>5.5</v>
      </c>
      <c r="E397" s="9">
        <v>5.5</v>
      </c>
      <c r="F397" s="10">
        <v>12.99</v>
      </c>
      <c r="G397" s="9">
        <v>12.99</v>
      </c>
      <c r="H397" s="8" t="s">
        <v>1580</v>
      </c>
      <c r="I397" s="7" t="s">
        <v>3182</v>
      </c>
      <c r="J397" s="11" t="s">
        <v>3202</v>
      </c>
      <c r="K397" s="7" t="s">
        <v>3387</v>
      </c>
      <c r="L397" s="7" t="s">
        <v>3388</v>
      </c>
      <c r="M397" s="12"/>
    </row>
    <row r="398" spans="1:13" ht="15.2" customHeight="1" x14ac:dyDescent="0.2">
      <c r="A398" s="6" t="s">
        <v>1581</v>
      </c>
      <c r="B398" s="7" t="s">
        <v>3614</v>
      </c>
      <c r="C398" s="8">
        <v>1</v>
      </c>
      <c r="D398" s="9">
        <v>5.5</v>
      </c>
      <c r="E398" s="9">
        <v>5.5</v>
      </c>
      <c r="F398" s="10">
        <v>12.99</v>
      </c>
      <c r="G398" s="9">
        <v>12.99</v>
      </c>
      <c r="H398" s="8" t="s">
        <v>3615</v>
      </c>
      <c r="I398" s="7" t="s">
        <v>3252</v>
      </c>
      <c r="J398" s="11" t="s">
        <v>3202</v>
      </c>
      <c r="K398" s="7" t="s">
        <v>3387</v>
      </c>
      <c r="L398" s="7" t="s">
        <v>3404</v>
      </c>
      <c r="M398" s="12"/>
    </row>
    <row r="399" spans="1:13" ht="15.2" customHeight="1" x14ac:dyDescent="0.2">
      <c r="A399" s="6" t="s">
        <v>1582</v>
      </c>
      <c r="B399" s="7" t="s">
        <v>3623</v>
      </c>
      <c r="C399" s="8">
        <v>1</v>
      </c>
      <c r="D399" s="9">
        <v>5.5</v>
      </c>
      <c r="E399" s="9">
        <v>5.5</v>
      </c>
      <c r="F399" s="10">
        <v>12.99</v>
      </c>
      <c r="G399" s="9">
        <v>12.99</v>
      </c>
      <c r="H399" s="8" t="s">
        <v>3624</v>
      </c>
      <c r="I399" s="7" t="s">
        <v>3286</v>
      </c>
      <c r="J399" s="11" t="s">
        <v>3220</v>
      </c>
      <c r="K399" s="7" t="s">
        <v>3387</v>
      </c>
      <c r="L399" s="7" t="s">
        <v>3404</v>
      </c>
      <c r="M399" s="12"/>
    </row>
    <row r="400" spans="1:13" ht="15.2" customHeight="1" x14ac:dyDescent="0.2">
      <c r="A400" s="6" t="s">
        <v>1583</v>
      </c>
      <c r="B400" s="7" t="s">
        <v>1584</v>
      </c>
      <c r="C400" s="8">
        <v>1</v>
      </c>
      <c r="D400" s="9">
        <v>5.5</v>
      </c>
      <c r="E400" s="9">
        <v>5.5</v>
      </c>
      <c r="F400" s="10">
        <v>12.99</v>
      </c>
      <c r="G400" s="9">
        <v>12.99</v>
      </c>
      <c r="H400" s="8" t="s">
        <v>1577</v>
      </c>
      <c r="I400" s="7" t="s">
        <v>3185</v>
      </c>
      <c r="J400" s="11" t="s">
        <v>3202</v>
      </c>
      <c r="K400" s="7" t="s">
        <v>3387</v>
      </c>
      <c r="L400" s="7" t="s">
        <v>3388</v>
      </c>
      <c r="M400" s="12"/>
    </row>
  </sheetData>
  <phoneticPr fontId="0" type="noConversion"/>
  <pageMargins left="0.5" right="0.5" top="0.25" bottom="0.25" header="0.3" footer="0.3"/>
  <pageSetup scale="65"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5"/>
  <sheetViews>
    <sheetView workbookViewId="0">
      <selection activeCell="B25" sqref="B25"/>
    </sheetView>
  </sheetViews>
  <sheetFormatPr defaultRowHeight="15.2" customHeight="1" x14ac:dyDescent="0.2"/>
  <cols>
    <col min="1" max="1" width="14.85546875" style="1" bestFit="1" customWidth="1"/>
    <col min="2" max="2" width="74.28515625" style="1" bestFit="1" customWidth="1"/>
    <col min="3" max="3" width="6.42578125" style="1" bestFit="1" customWidth="1"/>
    <col min="4" max="4" width="7.5703125" style="1" bestFit="1" customWidth="1"/>
    <col min="5" max="5" width="9.5703125" style="1" bestFit="1" customWidth="1"/>
    <col min="6" max="6" width="8.7109375" style="1" bestFit="1" customWidth="1"/>
    <col min="7" max="7" width="11.140625" style="1" bestFit="1" customWidth="1"/>
    <col min="8" max="8" width="23" style="1" bestFit="1" customWidth="1"/>
    <col min="9" max="9" width="14.7109375" style="1" bestFit="1" customWidth="1"/>
    <col min="10" max="10" width="10.7109375" style="1" bestFit="1" customWidth="1"/>
    <col min="11" max="11" width="19" style="1" bestFit="1" customWidth="1"/>
    <col min="12" max="12" width="43.7109375" style="1" bestFit="1" customWidth="1"/>
    <col min="13" max="13" width="49.42578125" style="1" bestFit="1" customWidth="1"/>
    <col min="14" max="16384" width="9.140625" style="1"/>
  </cols>
  <sheetData>
    <row r="1" spans="1:13" ht="15.2" customHeight="1" x14ac:dyDescent="0.2">
      <c r="A1" s="5" t="s">
        <v>3181</v>
      </c>
      <c r="B1" s="5" t="s">
        <v>249</v>
      </c>
      <c r="C1" s="5" t="s">
        <v>236</v>
      </c>
      <c r="D1" s="5" t="s">
        <v>247</v>
      </c>
      <c r="E1" s="5" t="s">
        <v>248</v>
      </c>
      <c r="F1" s="5" t="s">
        <v>239</v>
      </c>
      <c r="G1" s="5" t="s">
        <v>240</v>
      </c>
      <c r="H1" s="5" t="s">
        <v>241</v>
      </c>
      <c r="I1" s="5" t="s">
        <v>242</v>
      </c>
      <c r="J1" s="5" t="s">
        <v>243</v>
      </c>
      <c r="K1" s="5" t="s">
        <v>244</v>
      </c>
      <c r="L1" s="5" t="s">
        <v>245</v>
      </c>
      <c r="M1" s="5" t="s">
        <v>246</v>
      </c>
    </row>
    <row r="2" spans="1:13" ht="15.2" customHeight="1" x14ac:dyDescent="0.2">
      <c r="A2" s="6" t="s">
        <v>2107</v>
      </c>
      <c r="B2" s="7" t="s">
        <v>2108</v>
      </c>
      <c r="C2" s="8">
        <v>1</v>
      </c>
      <c r="D2" s="9">
        <v>36.5</v>
      </c>
      <c r="E2" s="9">
        <v>36.5</v>
      </c>
      <c r="F2" s="10">
        <v>109</v>
      </c>
      <c r="G2" s="9">
        <v>109</v>
      </c>
      <c r="H2" s="8" t="s">
        <v>2109</v>
      </c>
      <c r="I2" s="7" t="s">
        <v>3203</v>
      </c>
      <c r="J2" s="11" t="s">
        <v>3240</v>
      </c>
      <c r="K2" s="7" t="s">
        <v>3205</v>
      </c>
      <c r="L2" s="7" t="s">
        <v>3206</v>
      </c>
      <c r="M2" s="12" t="str">
        <f>HYPERLINK("http://slimages.macys.com/is/image/MCY/3776746 ")</f>
        <v xml:space="preserve">http://slimages.macys.com/is/image/MCY/3776746 </v>
      </c>
    </row>
    <row r="3" spans="1:13" ht="15.2" customHeight="1" x14ac:dyDescent="0.2">
      <c r="A3" s="6" t="s">
        <v>2110</v>
      </c>
      <c r="B3" s="7" t="s">
        <v>2111</v>
      </c>
      <c r="C3" s="8">
        <v>1</v>
      </c>
      <c r="D3" s="9">
        <v>34</v>
      </c>
      <c r="E3" s="9">
        <v>34</v>
      </c>
      <c r="F3" s="10">
        <v>99</v>
      </c>
      <c r="G3" s="9">
        <v>99</v>
      </c>
      <c r="H3" s="8" t="s">
        <v>2112</v>
      </c>
      <c r="I3" s="7" t="s">
        <v>3394</v>
      </c>
      <c r="J3" s="11" t="s">
        <v>3336</v>
      </c>
      <c r="K3" s="7" t="s">
        <v>3205</v>
      </c>
      <c r="L3" s="7" t="s">
        <v>3206</v>
      </c>
      <c r="M3" s="12" t="str">
        <f>HYPERLINK("http://slimages.macys.com/is/image/MCY/2950892 ")</f>
        <v xml:space="preserve">http://slimages.macys.com/is/image/MCY/2950892 </v>
      </c>
    </row>
    <row r="4" spans="1:13" ht="15.2" customHeight="1" x14ac:dyDescent="0.2">
      <c r="A4" s="6" t="s">
        <v>2113</v>
      </c>
      <c r="B4" s="7" t="s">
        <v>2114</v>
      </c>
      <c r="C4" s="8">
        <v>1</v>
      </c>
      <c r="D4" s="9">
        <v>33</v>
      </c>
      <c r="E4" s="9">
        <v>33</v>
      </c>
      <c r="F4" s="10">
        <v>99</v>
      </c>
      <c r="G4" s="9">
        <v>99</v>
      </c>
      <c r="H4" s="8" t="s">
        <v>2115</v>
      </c>
      <c r="I4" s="7" t="s">
        <v>3252</v>
      </c>
      <c r="J4" s="11" t="s">
        <v>3240</v>
      </c>
      <c r="K4" s="7" t="s">
        <v>3205</v>
      </c>
      <c r="L4" s="7" t="s">
        <v>3632</v>
      </c>
      <c r="M4" s="12" t="str">
        <f>HYPERLINK("http://slimages.macys.com/is/image/MCY/3739877 ")</f>
        <v xml:space="preserve">http://slimages.macys.com/is/image/MCY/3739877 </v>
      </c>
    </row>
    <row r="5" spans="1:13" ht="15.2" customHeight="1" x14ac:dyDescent="0.2">
      <c r="A5" s="6" t="s">
        <v>2116</v>
      </c>
      <c r="B5" s="7" t="s">
        <v>2117</v>
      </c>
      <c r="C5" s="8">
        <v>1</v>
      </c>
      <c r="D5" s="9">
        <v>31.75</v>
      </c>
      <c r="E5" s="9">
        <v>31.75</v>
      </c>
      <c r="F5" s="10">
        <v>99</v>
      </c>
      <c r="G5" s="9">
        <v>99</v>
      </c>
      <c r="H5" s="8" t="s">
        <v>2118</v>
      </c>
      <c r="I5" s="7" t="s">
        <v>3234</v>
      </c>
      <c r="J5" s="11" t="s">
        <v>3331</v>
      </c>
      <c r="K5" s="7" t="s">
        <v>3205</v>
      </c>
      <c r="L5" s="7" t="s">
        <v>3206</v>
      </c>
      <c r="M5" s="12" t="str">
        <f>HYPERLINK("http://slimages.macys.com/is/image/MCY/3503182 ")</f>
        <v xml:space="preserve">http://slimages.macys.com/is/image/MCY/3503182 </v>
      </c>
    </row>
    <row r="6" spans="1:13" ht="15.2" customHeight="1" x14ac:dyDescent="0.2">
      <c r="A6" s="6" t="s">
        <v>2119</v>
      </c>
      <c r="B6" s="7" t="s">
        <v>2120</v>
      </c>
      <c r="C6" s="8">
        <v>1</v>
      </c>
      <c r="D6" s="9">
        <v>29</v>
      </c>
      <c r="E6" s="9">
        <v>29</v>
      </c>
      <c r="F6" s="10">
        <v>89</v>
      </c>
      <c r="G6" s="9">
        <v>89</v>
      </c>
      <c r="H6" s="8" t="s">
        <v>3829</v>
      </c>
      <c r="I6" s="7" t="s">
        <v>3185</v>
      </c>
      <c r="J6" s="11"/>
      <c r="K6" s="7" t="s">
        <v>3205</v>
      </c>
      <c r="L6" s="7" t="s">
        <v>3238</v>
      </c>
      <c r="M6" s="12" t="str">
        <f>HYPERLINK("http://slimages.macys.com/is/image/MCY/3785825 ")</f>
        <v xml:space="preserve">http://slimages.macys.com/is/image/MCY/3785825 </v>
      </c>
    </row>
    <row r="7" spans="1:13" ht="15.2" customHeight="1" x14ac:dyDescent="0.2">
      <c r="A7" s="6" t="s">
        <v>2121</v>
      </c>
      <c r="B7" s="7" t="s">
        <v>2122</v>
      </c>
      <c r="C7" s="8">
        <v>1</v>
      </c>
      <c r="D7" s="9">
        <v>27.5</v>
      </c>
      <c r="E7" s="9">
        <v>27.5</v>
      </c>
      <c r="F7" s="10">
        <v>89</v>
      </c>
      <c r="G7" s="9">
        <v>89</v>
      </c>
      <c r="H7" s="8" t="s">
        <v>2123</v>
      </c>
      <c r="I7" s="7" t="s">
        <v>3234</v>
      </c>
      <c r="J7" s="11" t="s">
        <v>3340</v>
      </c>
      <c r="K7" s="7" t="s">
        <v>3205</v>
      </c>
      <c r="L7" s="7" t="s">
        <v>3206</v>
      </c>
      <c r="M7" s="12" t="str">
        <f>HYPERLINK("http://slimages.macys.com/is/image/MCY/3429644 ")</f>
        <v xml:space="preserve">http://slimages.macys.com/is/image/MCY/3429644 </v>
      </c>
    </row>
    <row r="8" spans="1:13" ht="15.2" customHeight="1" x14ac:dyDescent="0.2">
      <c r="A8" s="6" t="s">
        <v>2124</v>
      </c>
      <c r="B8" s="7" t="s">
        <v>2125</v>
      </c>
      <c r="C8" s="8">
        <v>1</v>
      </c>
      <c r="D8" s="9">
        <v>26</v>
      </c>
      <c r="E8" s="9">
        <v>26</v>
      </c>
      <c r="F8" s="10">
        <v>79</v>
      </c>
      <c r="G8" s="9">
        <v>79</v>
      </c>
      <c r="H8" s="8" t="s">
        <v>2355</v>
      </c>
      <c r="I8" s="7" t="s">
        <v>3185</v>
      </c>
      <c r="J8" s="11"/>
      <c r="K8" s="7" t="s">
        <v>3205</v>
      </c>
      <c r="L8" s="7" t="s">
        <v>3238</v>
      </c>
      <c r="M8" s="12" t="str">
        <f>HYPERLINK("http://slimages.macys.com/is/image/MCY/3817400 ")</f>
        <v xml:space="preserve">http://slimages.macys.com/is/image/MCY/3817400 </v>
      </c>
    </row>
    <row r="9" spans="1:13" ht="15.2" customHeight="1" x14ac:dyDescent="0.2">
      <c r="A9" s="6" t="s">
        <v>2126</v>
      </c>
      <c r="B9" s="7" t="s">
        <v>2127</v>
      </c>
      <c r="C9" s="8">
        <v>1</v>
      </c>
      <c r="D9" s="9">
        <v>25.34</v>
      </c>
      <c r="E9" s="9">
        <v>25.34</v>
      </c>
      <c r="F9" s="10">
        <v>69.5</v>
      </c>
      <c r="G9" s="9">
        <v>69.5</v>
      </c>
      <c r="H9" s="8" t="s">
        <v>2128</v>
      </c>
      <c r="I9" s="7" t="s">
        <v>3191</v>
      </c>
      <c r="J9" s="11" t="s">
        <v>3202</v>
      </c>
      <c r="K9" s="7" t="s">
        <v>3221</v>
      </c>
      <c r="L9" s="7" t="s">
        <v>3224</v>
      </c>
      <c r="M9" s="12" t="str">
        <f>HYPERLINK("http://slimages.macys.com/is/image/MCY/3802135 ")</f>
        <v xml:space="preserve">http://slimages.macys.com/is/image/MCY/3802135 </v>
      </c>
    </row>
    <row r="10" spans="1:13" ht="15.2" customHeight="1" x14ac:dyDescent="0.2">
      <c r="A10" s="6" t="s">
        <v>2129</v>
      </c>
      <c r="B10" s="7" t="s">
        <v>2130</v>
      </c>
      <c r="C10" s="8">
        <v>1</v>
      </c>
      <c r="D10" s="9">
        <v>25</v>
      </c>
      <c r="E10" s="9">
        <v>25</v>
      </c>
      <c r="F10" s="10">
        <v>59</v>
      </c>
      <c r="G10" s="9">
        <v>59</v>
      </c>
      <c r="H10" s="8">
        <v>2018</v>
      </c>
      <c r="I10" s="7" t="s">
        <v>3182</v>
      </c>
      <c r="J10" s="11"/>
      <c r="K10" s="7" t="s">
        <v>3832</v>
      </c>
      <c r="L10" s="7" t="s">
        <v>1784</v>
      </c>
      <c r="M10" s="12" t="str">
        <f>HYPERLINK("http://slimages.macys.com/is/image/MCY/3593142 ")</f>
        <v xml:space="preserve">http://slimages.macys.com/is/image/MCY/3593142 </v>
      </c>
    </row>
    <row r="11" spans="1:13" ht="15.2" customHeight="1" x14ac:dyDescent="0.2">
      <c r="A11" s="6" t="s">
        <v>2131</v>
      </c>
      <c r="B11" s="7" t="s">
        <v>2132</v>
      </c>
      <c r="C11" s="8">
        <v>1</v>
      </c>
      <c r="D11" s="9">
        <v>23.7</v>
      </c>
      <c r="E11" s="9">
        <v>23.7</v>
      </c>
      <c r="F11" s="10">
        <v>79</v>
      </c>
      <c r="G11" s="9">
        <v>79</v>
      </c>
      <c r="H11" s="8">
        <v>49007563</v>
      </c>
      <c r="I11" s="7" t="s">
        <v>3185</v>
      </c>
      <c r="J11" s="11" t="s">
        <v>3236</v>
      </c>
      <c r="K11" s="7" t="s">
        <v>3187</v>
      </c>
      <c r="L11" s="7" t="s">
        <v>3188</v>
      </c>
      <c r="M11" s="12" t="str">
        <f>HYPERLINK("http://slimages.macys.com/is/image/MCY/3600945 ")</f>
        <v xml:space="preserve">http://slimages.macys.com/is/image/MCY/3600945 </v>
      </c>
    </row>
    <row r="12" spans="1:13" ht="15.2" customHeight="1" x14ac:dyDescent="0.2">
      <c r="A12" s="6" t="s">
        <v>2133</v>
      </c>
      <c r="B12" s="7" t="s">
        <v>2134</v>
      </c>
      <c r="C12" s="8">
        <v>1</v>
      </c>
      <c r="D12" s="9">
        <v>23</v>
      </c>
      <c r="E12" s="9">
        <v>23</v>
      </c>
      <c r="F12" s="10">
        <v>59.5</v>
      </c>
      <c r="G12" s="9">
        <v>59.5</v>
      </c>
      <c r="H12" s="8" t="s">
        <v>3649</v>
      </c>
      <c r="I12" s="7" t="s">
        <v>3185</v>
      </c>
      <c r="J12" s="11" t="s">
        <v>3242</v>
      </c>
      <c r="K12" s="7" t="s">
        <v>3198</v>
      </c>
      <c r="L12" s="7" t="s">
        <v>3199</v>
      </c>
      <c r="M12" s="12" t="str">
        <f>HYPERLINK("http://slimages.macys.com/is/image/MCY/3895026 ")</f>
        <v xml:space="preserve">http://slimages.macys.com/is/image/MCY/3895026 </v>
      </c>
    </row>
    <row r="13" spans="1:13" ht="15.2" customHeight="1" x14ac:dyDescent="0.2">
      <c r="A13" s="6" t="s">
        <v>2135</v>
      </c>
      <c r="B13" s="7" t="s">
        <v>2136</v>
      </c>
      <c r="C13" s="8">
        <v>1</v>
      </c>
      <c r="D13" s="9">
        <v>22</v>
      </c>
      <c r="E13" s="9">
        <v>22</v>
      </c>
      <c r="F13" s="10">
        <v>69</v>
      </c>
      <c r="G13" s="9">
        <v>69</v>
      </c>
      <c r="H13" s="8" t="s">
        <v>2137</v>
      </c>
      <c r="I13" s="7" t="s">
        <v>3234</v>
      </c>
      <c r="J13" s="11" t="s">
        <v>3336</v>
      </c>
      <c r="K13" s="7" t="s">
        <v>3205</v>
      </c>
      <c r="L13" s="7" t="s">
        <v>3500</v>
      </c>
      <c r="M13" s="12" t="str">
        <f>HYPERLINK("http://slimages.macys.com/is/image/MCY/3721284 ")</f>
        <v xml:space="preserve">http://slimages.macys.com/is/image/MCY/3721284 </v>
      </c>
    </row>
    <row r="14" spans="1:13" ht="15.2" customHeight="1" x14ac:dyDescent="0.2">
      <c r="A14" s="6" t="s">
        <v>2138</v>
      </c>
      <c r="B14" s="7" t="s">
        <v>2139</v>
      </c>
      <c r="C14" s="8">
        <v>1</v>
      </c>
      <c r="D14" s="9">
        <v>21.96</v>
      </c>
      <c r="E14" s="9">
        <v>21.96</v>
      </c>
      <c r="F14" s="10">
        <v>59.99</v>
      </c>
      <c r="G14" s="9">
        <v>59.99</v>
      </c>
      <c r="H14" s="8" t="s">
        <v>2140</v>
      </c>
      <c r="I14" s="7" t="s">
        <v>3185</v>
      </c>
      <c r="J14" s="11" t="s">
        <v>3231</v>
      </c>
      <c r="K14" s="7" t="s">
        <v>3221</v>
      </c>
      <c r="L14" s="7" t="s">
        <v>3253</v>
      </c>
      <c r="M14" s="12" t="str">
        <f>HYPERLINK("http://slimages.macys.com/is/image/MCY/2915075 ")</f>
        <v xml:space="preserve">http://slimages.macys.com/is/image/MCY/2915075 </v>
      </c>
    </row>
    <row r="15" spans="1:13" ht="15.2" customHeight="1" x14ac:dyDescent="0.2">
      <c r="A15" s="6" t="s">
        <v>2141</v>
      </c>
      <c r="B15" s="7" t="s">
        <v>2142</v>
      </c>
      <c r="C15" s="8">
        <v>1</v>
      </c>
      <c r="D15" s="9">
        <v>21.46</v>
      </c>
      <c r="E15" s="9">
        <v>21.46</v>
      </c>
      <c r="F15" s="10">
        <v>54.99</v>
      </c>
      <c r="G15" s="9">
        <v>54.99</v>
      </c>
      <c r="H15" s="8" t="s">
        <v>2143</v>
      </c>
      <c r="I15" s="7" t="s">
        <v>3191</v>
      </c>
      <c r="J15" s="11" t="s">
        <v>3310</v>
      </c>
      <c r="K15" s="7" t="s">
        <v>3221</v>
      </c>
      <c r="L15" s="7" t="s">
        <v>3253</v>
      </c>
      <c r="M15" s="12" t="str">
        <f>HYPERLINK("http://slimages.macys.com/is/image/MCY/3555978 ")</f>
        <v xml:space="preserve">http://slimages.macys.com/is/image/MCY/3555978 </v>
      </c>
    </row>
    <row r="16" spans="1:13" ht="15.2" customHeight="1" x14ac:dyDescent="0.2">
      <c r="A16" s="6" t="s">
        <v>2144</v>
      </c>
      <c r="B16" s="7" t="s">
        <v>2145</v>
      </c>
      <c r="C16" s="8">
        <v>1</v>
      </c>
      <c r="D16" s="9">
        <v>21.14</v>
      </c>
      <c r="E16" s="9">
        <v>21.14</v>
      </c>
      <c r="F16" s="10">
        <v>59.5</v>
      </c>
      <c r="G16" s="9">
        <v>59.5</v>
      </c>
      <c r="H16" s="8" t="s">
        <v>3227</v>
      </c>
      <c r="I16" s="7" t="s">
        <v>3228</v>
      </c>
      <c r="J16" s="11"/>
      <c r="K16" s="7" t="s">
        <v>3193</v>
      </c>
      <c r="L16" s="7" t="s">
        <v>3194</v>
      </c>
      <c r="M16" s="12" t="str">
        <f>HYPERLINK("http://slimages.macys.com/is/image/MCY/3922311 ")</f>
        <v xml:space="preserve">http://slimages.macys.com/is/image/MCY/3922311 </v>
      </c>
    </row>
    <row r="17" spans="1:13" ht="15.2" customHeight="1" x14ac:dyDescent="0.2">
      <c r="A17" s="6" t="s">
        <v>3225</v>
      </c>
      <c r="B17" s="7" t="s">
        <v>3226</v>
      </c>
      <c r="C17" s="8">
        <v>1</v>
      </c>
      <c r="D17" s="9">
        <v>21.14</v>
      </c>
      <c r="E17" s="9">
        <v>21.14</v>
      </c>
      <c r="F17" s="10">
        <v>59.5</v>
      </c>
      <c r="G17" s="9">
        <v>59.5</v>
      </c>
      <c r="H17" s="8" t="s">
        <v>3227</v>
      </c>
      <c r="I17" s="7" t="s">
        <v>3228</v>
      </c>
      <c r="J17" s="11" t="s">
        <v>3211</v>
      </c>
      <c r="K17" s="7" t="s">
        <v>3193</v>
      </c>
      <c r="L17" s="7" t="s">
        <v>3194</v>
      </c>
      <c r="M17" s="12" t="str">
        <f>HYPERLINK("http://slimages.macys.com/is/image/MCY/3922311 ")</f>
        <v xml:space="preserve">http://slimages.macys.com/is/image/MCY/3922311 </v>
      </c>
    </row>
    <row r="18" spans="1:13" ht="15.2" customHeight="1" x14ac:dyDescent="0.2">
      <c r="A18" s="6" t="s">
        <v>2146</v>
      </c>
      <c r="B18" s="7" t="s">
        <v>2147</v>
      </c>
      <c r="C18" s="8">
        <v>1</v>
      </c>
      <c r="D18" s="9">
        <v>20.52</v>
      </c>
      <c r="E18" s="9">
        <v>20.52</v>
      </c>
      <c r="F18" s="10">
        <v>59.5</v>
      </c>
      <c r="G18" s="9">
        <v>59.5</v>
      </c>
      <c r="H18" s="8" t="s">
        <v>3653</v>
      </c>
      <c r="I18" s="7" t="s">
        <v>3252</v>
      </c>
      <c r="J18" s="11" t="s">
        <v>3220</v>
      </c>
      <c r="K18" s="7" t="s">
        <v>3232</v>
      </c>
      <c r="L18" s="7" t="s">
        <v>3308</v>
      </c>
      <c r="M18" s="12" t="str">
        <f>HYPERLINK("http://slimages.macys.com/is/image/MCY/3918811 ")</f>
        <v xml:space="preserve">http://slimages.macys.com/is/image/MCY/3918811 </v>
      </c>
    </row>
    <row r="19" spans="1:13" ht="15.2" customHeight="1" x14ac:dyDescent="0.2">
      <c r="A19" s="6" t="s">
        <v>2148</v>
      </c>
      <c r="B19" s="7" t="s">
        <v>2149</v>
      </c>
      <c r="C19" s="8">
        <v>1</v>
      </c>
      <c r="D19" s="9">
        <v>20</v>
      </c>
      <c r="E19" s="9">
        <v>20</v>
      </c>
      <c r="F19" s="10">
        <v>49.99</v>
      </c>
      <c r="G19" s="9">
        <v>49.99</v>
      </c>
      <c r="H19" s="8" t="s">
        <v>3842</v>
      </c>
      <c r="I19" s="7" t="s">
        <v>3191</v>
      </c>
      <c r="J19" s="11"/>
      <c r="K19" s="7" t="s">
        <v>3241</v>
      </c>
      <c r="L19" s="7" t="s">
        <v>3238</v>
      </c>
      <c r="M19" s="12" t="str">
        <f>HYPERLINK("http://slimages.macys.com/is/image/MCY/3760845 ")</f>
        <v xml:space="preserve">http://slimages.macys.com/is/image/MCY/3760845 </v>
      </c>
    </row>
    <row r="20" spans="1:13" ht="15.2" customHeight="1" x14ac:dyDescent="0.2">
      <c r="A20" s="6" t="s">
        <v>2150</v>
      </c>
      <c r="B20" s="7" t="s">
        <v>2151</v>
      </c>
      <c r="C20" s="8">
        <v>1</v>
      </c>
      <c r="D20" s="9">
        <v>20</v>
      </c>
      <c r="E20" s="9">
        <v>20</v>
      </c>
      <c r="F20" s="10">
        <v>59</v>
      </c>
      <c r="G20" s="9">
        <v>59</v>
      </c>
      <c r="H20" s="8" t="s">
        <v>2152</v>
      </c>
      <c r="I20" s="7" t="s">
        <v>3185</v>
      </c>
      <c r="J20" s="11" t="s">
        <v>3351</v>
      </c>
      <c r="K20" s="7" t="s">
        <v>3205</v>
      </c>
      <c r="L20" s="7" t="s">
        <v>3632</v>
      </c>
      <c r="M20" s="12" t="str">
        <f>HYPERLINK("http://slimages.macys.com/is/image/MCY/3459663 ")</f>
        <v xml:space="preserve">http://slimages.macys.com/is/image/MCY/3459663 </v>
      </c>
    </row>
    <row r="21" spans="1:13" ht="15.2" customHeight="1" x14ac:dyDescent="0.2">
      <c r="A21" s="6" t="s">
        <v>2153</v>
      </c>
      <c r="B21" s="7" t="s">
        <v>2154</v>
      </c>
      <c r="C21" s="8">
        <v>1</v>
      </c>
      <c r="D21" s="9">
        <v>19.579999999999998</v>
      </c>
      <c r="E21" s="9">
        <v>19.579999999999998</v>
      </c>
      <c r="F21" s="10">
        <v>44.99</v>
      </c>
      <c r="G21" s="9">
        <v>44.99</v>
      </c>
      <c r="H21" s="8" t="s">
        <v>2155</v>
      </c>
      <c r="I21" s="7" t="s">
        <v>3234</v>
      </c>
      <c r="J21" s="11" t="s">
        <v>3202</v>
      </c>
      <c r="K21" s="7" t="s">
        <v>3221</v>
      </c>
      <c r="L21" s="7" t="s">
        <v>3224</v>
      </c>
      <c r="M21" s="12" t="str">
        <f>HYPERLINK("http://slimages.macys.com/is/image/MCY/3026770 ")</f>
        <v xml:space="preserve">http://slimages.macys.com/is/image/MCY/3026770 </v>
      </c>
    </row>
    <row r="22" spans="1:13" ht="15.2" customHeight="1" x14ac:dyDescent="0.2">
      <c r="A22" s="6" t="s">
        <v>2156</v>
      </c>
      <c r="B22" s="7" t="s">
        <v>2157</v>
      </c>
      <c r="C22" s="8">
        <v>1</v>
      </c>
      <c r="D22" s="9">
        <v>19</v>
      </c>
      <c r="E22" s="9">
        <v>19</v>
      </c>
      <c r="F22" s="10">
        <v>69</v>
      </c>
      <c r="G22" s="9">
        <v>69</v>
      </c>
      <c r="H22" s="8" t="s">
        <v>2158</v>
      </c>
      <c r="I22" s="7" t="s">
        <v>3228</v>
      </c>
      <c r="J22" s="11" t="s">
        <v>3338</v>
      </c>
      <c r="K22" s="7" t="s">
        <v>3295</v>
      </c>
      <c r="L22" s="7" t="s">
        <v>3296</v>
      </c>
      <c r="M22" s="12" t="str">
        <f>HYPERLINK("http://slimages.macys.com/is/image/MCY/3315047 ")</f>
        <v xml:space="preserve">http://slimages.macys.com/is/image/MCY/3315047 </v>
      </c>
    </row>
    <row r="23" spans="1:13" ht="15.2" customHeight="1" x14ac:dyDescent="0.2">
      <c r="A23" s="6" t="s">
        <v>2033</v>
      </c>
      <c r="B23" s="7" t="s">
        <v>2034</v>
      </c>
      <c r="C23" s="8">
        <v>1</v>
      </c>
      <c r="D23" s="9">
        <v>19</v>
      </c>
      <c r="E23" s="9">
        <v>19</v>
      </c>
      <c r="F23" s="10">
        <v>49</v>
      </c>
      <c r="G23" s="9">
        <v>49</v>
      </c>
      <c r="H23" s="8" t="s">
        <v>4057</v>
      </c>
      <c r="I23" s="7" t="s">
        <v>3182</v>
      </c>
      <c r="J23" s="11" t="s">
        <v>3186</v>
      </c>
      <c r="K23" s="7" t="s">
        <v>3222</v>
      </c>
      <c r="L23" s="7" t="s">
        <v>3410</v>
      </c>
      <c r="M23" s="12" t="str">
        <f>HYPERLINK("http://slimages.macys.com/is/image/MCY/3703339 ")</f>
        <v xml:space="preserve">http://slimages.macys.com/is/image/MCY/3703339 </v>
      </c>
    </row>
    <row r="24" spans="1:13" ht="15.2" customHeight="1" x14ac:dyDescent="0.2">
      <c r="A24" s="6" t="s">
        <v>2159</v>
      </c>
      <c r="B24" s="7" t="s">
        <v>2160</v>
      </c>
      <c r="C24" s="8">
        <v>1</v>
      </c>
      <c r="D24" s="9">
        <v>18.23</v>
      </c>
      <c r="E24" s="9">
        <v>18.23</v>
      </c>
      <c r="F24" s="10">
        <v>49.99</v>
      </c>
      <c r="G24" s="9">
        <v>49.99</v>
      </c>
      <c r="H24" s="8" t="s">
        <v>3855</v>
      </c>
      <c r="I24" s="7" t="s">
        <v>3182</v>
      </c>
      <c r="J24" s="11" t="s">
        <v>3236</v>
      </c>
      <c r="K24" s="7" t="s">
        <v>3221</v>
      </c>
      <c r="L24" s="7" t="s">
        <v>3253</v>
      </c>
      <c r="M24" s="12" t="str">
        <f>HYPERLINK("http://slimages.macys.com/is/image/MCY/3954961 ")</f>
        <v xml:space="preserve">http://slimages.macys.com/is/image/MCY/3954961 </v>
      </c>
    </row>
    <row r="25" spans="1:13" ht="15.2" customHeight="1" x14ac:dyDescent="0.2">
      <c r="A25" s="6" t="s">
        <v>3851</v>
      </c>
      <c r="B25" s="7" t="s">
        <v>3852</v>
      </c>
      <c r="C25" s="8">
        <v>1</v>
      </c>
      <c r="D25" s="9">
        <v>18.23</v>
      </c>
      <c r="E25" s="9">
        <v>18.23</v>
      </c>
      <c r="F25" s="10">
        <v>49.99</v>
      </c>
      <c r="G25" s="9">
        <v>49.99</v>
      </c>
      <c r="H25" s="8" t="s">
        <v>3249</v>
      </c>
      <c r="I25" s="7" t="s">
        <v>3201</v>
      </c>
      <c r="J25" s="11" t="s">
        <v>3220</v>
      </c>
      <c r="K25" s="7" t="s">
        <v>3221</v>
      </c>
      <c r="L25" s="7" t="s">
        <v>3250</v>
      </c>
      <c r="M25" s="12" t="str">
        <f>HYPERLINK("http://slimages.macys.com/is/image/MCY/3954963 ")</f>
        <v xml:space="preserve">http://slimages.macys.com/is/image/MCY/3954963 </v>
      </c>
    </row>
    <row r="26" spans="1:13" ht="15.2" customHeight="1" x14ac:dyDescent="0.2">
      <c r="A26" s="6" t="s">
        <v>3247</v>
      </c>
      <c r="B26" s="7" t="s">
        <v>3248</v>
      </c>
      <c r="C26" s="8">
        <v>1</v>
      </c>
      <c r="D26" s="9">
        <v>18.23</v>
      </c>
      <c r="E26" s="9">
        <v>18.23</v>
      </c>
      <c r="F26" s="10">
        <v>49.99</v>
      </c>
      <c r="G26" s="9">
        <v>49.99</v>
      </c>
      <c r="H26" s="8" t="s">
        <v>3249</v>
      </c>
      <c r="I26" s="7" t="s">
        <v>3201</v>
      </c>
      <c r="J26" s="11" t="s">
        <v>3231</v>
      </c>
      <c r="K26" s="7" t="s">
        <v>3221</v>
      </c>
      <c r="L26" s="7" t="s">
        <v>3250</v>
      </c>
      <c r="M26" s="12" t="str">
        <f>HYPERLINK("http://slimages.macys.com/is/image/MCY/3954963 ")</f>
        <v xml:space="preserve">http://slimages.macys.com/is/image/MCY/3954963 </v>
      </c>
    </row>
    <row r="27" spans="1:13" ht="15.2" customHeight="1" x14ac:dyDescent="0.2">
      <c r="A27" s="6" t="s">
        <v>2161</v>
      </c>
      <c r="B27" s="7" t="s">
        <v>2162</v>
      </c>
      <c r="C27" s="8">
        <v>1</v>
      </c>
      <c r="D27" s="9">
        <v>18.22</v>
      </c>
      <c r="E27" s="9">
        <v>18.22</v>
      </c>
      <c r="F27" s="10">
        <v>49.99</v>
      </c>
      <c r="G27" s="9">
        <v>49.99</v>
      </c>
      <c r="H27" s="8" t="s">
        <v>3251</v>
      </c>
      <c r="I27" s="7" t="s">
        <v>3252</v>
      </c>
      <c r="J27" s="11" t="s">
        <v>3186</v>
      </c>
      <c r="K27" s="7" t="s">
        <v>3221</v>
      </c>
      <c r="L27" s="7" t="s">
        <v>3253</v>
      </c>
      <c r="M27" s="12" t="str">
        <f>HYPERLINK("http://slimages.macys.com/is/image/MCY/3963138 ")</f>
        <v xml:space="preserve">http://slimages.macys.com/is/image/MCY/3963138 </v>
      </c>
    </row>
    <row r="28" spans="1:13" ht="15.2" customHeight="1" x14ac:dyDescent="0.2">
      <c r="A28" s="6" t="s">
        <v>2163</v>
      </c>
      <c r="B28" s="7" t="s">
        <v>2164</v>
      </c>
      <c r="C28" s="8">
        <v>1</v>
      </c>
      <c r="D28" s="9">
        <v>18.07</v>
      </c>
      <c r="E28" s="9">
        <v>18.07</v>
      </c>
      <c r="F28" s="10">
        <v>49.5</v>
      </c>
      <c r="G28" s="9">
        <v>49.5</v>
      </c>
      <c r="H28" s="8" t="s">
        <v>2165</v>
      </c>
      <c r="I28" s="7" t="s">
        <v>3252</v>
      </c>
      <c r="J28" s="11" t="s">
        <v>3310</v>
      </c>
      <c r="K28" s="7" t="s">
        <v>3221</v>
      </c>
      <c r="L28" s="7" t="s">
        <v>3250</v>
      </c>
      <c r="M28" s="12" t="str">
        <f>HYPERLINK("http://slimages.macys.com/is/image/MCY/3913395 ")</f>
        <v xml:space="preserve">http://slimages.macys.com/is/image/MCY/3913395 </v>
      </c>
    </row>
    <row r="29" spans="1:13" ht="15.2" customHeight="1" x14ac:dyDescent="0.2">
      <c r="A29" s="6" t="s">
        <v>2166</v>
      </c>
      <c r="B29" s="7" t="s">
        <v>2167</v>
      </c>
      <c r="C29" s="8">
        <v>1</v>
      </c>
      <c r="D29" s="9">
        <v>18</v>
      </c>
      <c r="E29" s="9">
        <v>18</v>
      </c>
      <c r="F29" s="10">
        <v>45</v>
      </c>
      <c r="G29" s="9">
        <v>45</v>
      </c>
      <c r="H29" s="8" t="s">
        <v>2168</v>
      </c>
      <c r="I29" s="7" t="s">
        <v>3246</v>
      </c>
      <c r="J29" s="11" t="s">
        <v>3231</v>
      </c>
      <c r="K29" s="7" t="s">
        <v>3768</v>
      </c>
      <c r="L29" s="7" t="s">
        <v>4238</v>
      </c>
      <c r="M29" s="12" t="str">
        <f>HYPERLINK("http://slimages.macys.com/is/image/MCY/3879415 ")</f>
        <v xml:space="preserve">http://slimages.macys.com/is/image/MCY/3879415 </v>
      </c>
    </row>
    <row r="30" spans="1:13" ht="15.2" customHeight="1" x14ac:dyDescent="0.2">
      <c r="A30" s="6" t="s">
        <v>3112</v>
      </c>
      <c r="B30" s="7" t="s">
        <v>3113</v>
      </c>
      <c r="C30" s="8">
        <v>1</v>
      </c>
      <c r="D30" s="9">
        <v>17.850000000000001</v>
      </c>
      <c r="E30" s="9">
        <v>17.850000000000001</v>
      </c>
      <c r="F30" s="10">
        <v>59.5</v>
      </c>
      <c r="G30" s="9">
        <v>59.5</v>
      </c>
      <c r="H30" s="8">
        <v>49022900</v>
      </c>
      <c r="I30" s="7" t="s">
        <v>3201</v>
      </c>
      <c r="J30" s="11" t="s">
        <v>3220</v>
      </c>
      <c r="K30" s="7" t="s">
        <v>3187</v>
      </c>
      <c r="L30" s="7" t="s">
        <v>3188</v>
      </c>
      <c r="M30" s="12" t="str">
        <f>HYPERLINK("http://slimages.macys.com/is/image/MCY/3939787 ")</f>
        <v xml:space="preserve">http://slimages.macys.com/is/image/MCY/3939787 </v>
      </c>
    </row>
    <row r="31" spans="1:13" ht="15.2" customHeight="1" x14ac:dyDescent="0.2">
      <c r="A31" s="6" t="s">
        <v>2169</v>
      </c>
      <c r="B31" s="7" t="s">
        <v>2170</v>
      </c>
      <c r="C31" s="8">
        <v>1</v>
      </c>
      <c r="D31" s="9">
        <v>17.850000000000001</v>
      </c>
      <c r="E31" s="9">
        <v>17.850000000000001</v>
      </c>
      <c r="F31" s="10">
        <v>59.5</v>
      </c>
      <c r="G31" s="9">
        <v>59.5</v>
      </c>
      <c r="H31" s="8">
        <v>60433858</v>
      </c>
      <c r="I31" s="7" t="s">
        <v>3185</v>
      </c>
      <c r="J31" s="11" t="s">
        <v>3231</v>
      </c>
      <c r="K31" s="7" t="s">
        <v>3187</v>
      </c>
      <c r="L31" s="7" t="s">
        <v>3188</v>
      </c>
      <c r="M31" s="12" t="str">
        <f>HYPERLINK("http://slimages.macys.com/is/image/MCY/3894748 ")</f>
        <v xml:space="preserve">http://slimages.macys.com/is/image/MCY/3894748 </v>
      </c>
    </row>
    <row r="32" spans="1:13" ht="15.2" customHeight="1" x14ac:dyDescent="0.2">
      <c r="A32" s="6" t="s">
        <v>2171</v>
      </c>
      <c r="B32" s="7" t="s">
        <v>2172</v>
      </c>
      <c r="C32" s="8">
        <v>1</v>
      </c>
      <c r="D32" s="9">
        <v>17.850000000000001</v>
      </c>
      <c r="E32" s="9">
        <v>17.850000000000001</v>
      </c>
      <c r="F32" s="10">
        <v>59.5</v>
      </c>
      <c r="G32" s="9">
        <v>59.5</v>
      </c>
      <c r="H32" s="8">
        <v>49008661</v>
      </c>
      <c r="I32" s="7" t="s">
        <v>3203</v>
      </c>
      <c r="J32" s="11" t="s">
        <v>3231</v>
      </c>
      <c r="K32" s="7" t="s">
        <v>3187</v>
      </c>
      <c r="L32" s="7" t="s">
        <v>3188</v>
      </c>
      <c r="M32" s="12" t="str">
        <f>HYPERLINK("http://slimages.macys.com/is/image/MCY/3879441 ")</f>
        <v xml:space="preserve">http://slimages.macys.com/is/image/MCY/3879441 </v>
      </c>
    </row>
    <row r="33" spans="1:13" ht="15.2" customHeight="1" x14ac:dyDescent="0.2">
      <c r="A33" s="6" t="s">
        <v>2173</v>
      </c>
      <c r="B33" s="7" t="s">
        <v>2174</v>
      </c>
      <c r="C33" s="8">
        <v>1</v>
      </c>
      <c r="D33" s="9">
        <v>17.59</v>
      </c>
      <c r="E33" s="9">
        <v>17.59</v>
      </c>
      <c r="F33" s="10">
        <v>49.5</v>
      </c>
      <c r="G33" s="9">
        <v>49.5</v>
      </c>
      <c r="H33" s="8" t="s">
        <v>3660</v>
      </c>
      <c r="I33" s="7" t="s">
        <v>3252</v>
      </c>
      <c r="J33" s="11" t="s">
        <v>3213</v>
      </c>
      <c r="K33" s="7" t="s">
        <v>3193</v>
      </c>
      <c r="L33" s="7" t="s">
        <v>3254</v>
      </c>
      <c r="M33" s="12" t="str">
        <f>HYPERLINK("http://slimages.macys.com/is/image/MCY/3922404 ")</f>
        <v xml:space="preserve">http://slimages.macys.com/is/image/MCY/3922404 </v>
      </c>
    </row>
    <row r="34" spans="1:13" ht="15.2" customHeight="1" x14ac:dyDescent="0.2">
      <c r="A34" s="6" t="s">
        <v>2175</v>
      </c>
      <c r="B34" s="7" t="s">
        <v>2176</v>
      </c>
      <c r="C34" s="8">
        <v>1</v>
      </c>
      <c r="D34" s="9">
        <v>17.59</v>
      </c>
      <c r="E34" s="9">
        <v>17.59</v>
      </c>
      <c r="F34" s="10">
        <v>49.5</v>
      </c>
      <c r="G34" s="9">
        <v>49.5</v>
      </c>
      <c r="H34" s="8" t="s">
        <v>3262</v>
      </c>
      <c r="I34" s="7" t="s">
        <v>3252</v>
      </c>
      <c r="J34" s="11" t="s">
        <v>3229</v>
      </c>
      <c r="K34" s="7" t="s">
        <v>3193</v>
      </c>
      <c r="L34" s="7" t="s">
        <v>3194</v>
      </c>
      <c r="M34" s="12" t="str">
        <f>HYPERLINK("http://slimages.macys.com/is/image/MCY/3922363 ")</f>
        <v xml:space="preserve">http://slimages.macys.com/is/image/MCY/3922363 </v>
      </c>
    </row>
    <row r="35" spans="1:13" ht="15.2" customHeight="1" x14ac:dyDescent="0.2">
      <c r="A35" s="6" t="s">
        <v>2217</v>
      </c>
      <c r="B35" s="7" t="s">
        <v>2218</v>
      </c>
      <c r="C35" s="8">
        <v>1</v>
      </c>
      <c r="D35" s="9">
        <v>17.59</v>
      </c>
      <c r="E35" s="9">
        <v>17.59</v>
      </c>
      <c r="F35" s="10">
        <v>49.5</v>
      </c>
      <c r="G35" s="9">
        <v>49.5</v>
      </c>
      <c r="H35" s="8" t="s">
        <v>3660</v>
      </c>
      <c r="I35" s="7" t="s">
        <v>3214</v>
      </c>
      <c r="J35" s="11" t="s">
        <v>3211</v>
      </c>
      <c r="K35" s="7" t="s">
        <v>3193</v>
      </c>
      <c r="L35" s="7" t="s">
        <v>3254</v>
      </c>
      <c r="M35" s="12" t="str">
        <f>HYPERLINK("http://slimages.macys.com/is/image/MCY/3922404 ")</f>
        <v xml:space="preserve">http://slimages.macys.com/is/image/MCY/3922404 </v>
      </c>
    </row>
    <row r="36" spans="1:13" ht="15.2" customHeight="1" x14ac:dyDescent="0.2">
      <c r="A36" s="6" t="s">
        <v>2177</v>
      </c>
      <c r="B36" s="7" t="s">
        <v>2178</v>
      </c>
      <c r="C36" s="8">
        <v>1</v>
      </c>
      <c r="D36" s="9">
        <v>17.5</v>
      </c>
      <c r="E36" s="9">
        <v>17.5</v>
      </c>
      <c r="F36" s="10">
        <v>59</v>
      </c>
      <c r="G36" s="9">
        <v>59</v>
      </c>
      <c r="H36" s="8" t="s">
        <v>2179</v>
      </c>
      <c r="I36" s="7" t="s">
        <v>3207</v>
      </c>
      <c r="J36" s="11" t="s">
        <v>3229</v>
      </c>
      <c r="K36" s="7" t="s">
        <v>3281</v>
      </c>
      <c r="L36" s="7" t="s">
        <v>3292</v>
      </c>
      <c r="M36" s="12" t="str">
        <f>HYPERLINK("http://slimages.macys.com/is/image/MCY/3731272 ")</f>
        <v xml:space="preserve">http://slimages.macys.com/is/image/MCY/3731272 </v>
      </c>
    </row>
    <row r="37" spans="1:13" ht="15.2" customHeight="1" x14ac:dyDescent="0.2">
      <c r="A37" s="6" t="s">
        <v>2180</v>
      </c>
      <c r="B37" s="7" t="s">
        <v>2181</v>
      </c>
      <c r="C37" s="8">
        <v>1</v>
      </c>
      <c r="D37" s="9">
        <v>17.47</v>
      </c>
      <c r="E37" s="9">
        <v>17.47</v>
      </c>
      <c r="F37" s="10">
        <v>49.5</v>
      </c>
      <c r="G37" s="9">
        <v>49.5</v>
      </c>
      <c r="H37" s="8" t="s">
        <v>2182</v>
      </c>
      <c r="I37" s="7" t="s">
        <v>3191</v>
      </c>
      <c r="J37" s="11" t="s">
        <v>3242</v>
      </c>
      <c r="K37" s="7" t="s">
        <v>3221</v>
      </c>
      <c r="L37" s="7" t="s">
        <v>3224</v>
      </c>
      <c r="M37" s="12" t="str">
        <f>HYPERLINK("http://slimages.macys.com/is/image/MCY/3613279 ")</f>
        <v xml:space="preserve">http://slimages.macys.com/is/image/MCY/3613279 </v>
      </c>
    </row>
    <row r="38" spans="1:13" ht="15.2" customHeight="1" x14ac:dyDescent="0.2">
      <c r="A38" s="6" t="s">
        <v>2183</v>
      </c>
      <c r="B38" s="7" t="s">
        <v>2184</v>
      </c>
      <c r="C38" s="8">
        <v>1</v>
      </c>
      <c r="D38" s="9">
        <v>17</v>
      </c>
      <c r="E38" s="9">
        <v>17</v>
      </c>
      <c r="F38" s="10">
        <v>41.99</v>
      </c>
      <c r="G38" s="9">
        <v>41.99</v>
      </c>
      <c r="H38" s="8" t="s">
        <v>2185</v>
      </c>
      <c r="I38" s="7"/>
      <c r="J38" s="11" t="s">
        <v>3186</v>
      </c>
      <c r="K38" s="7" t="s">
        <v>3241</v>
      </c>
      <c r="L38" s="7" t="s">
        <v>3296</v>
      </c>
      <c r="M38" s="12" t="str">
        <f>HYPERLINK("http://slimages.macys.com/is/image/MCY/3814502 ")</f>
        <v xml:space="preserve">http://slimages.macys.com/is/image/MCY/3814502 </v>
      </c>
    </row>
    <row r="39" spans="1:13" ht="15.2" customHeight="1" x14ac:dyDescent="0.2">
      <c r="A39" s="6" t="s">
        <v>2186</v>
      </c>
      <c r="B39" s="7" t="s">
        <v>2187</v>
      </c>
      <c r="C39" s="8">
        <v>1</v>
      </c>
      <c r="D39" s="9">
        <v>16.75</v>
      </c>
      <c r="E39" s="9">
        <v>16.75</v>
      </c>
      <c r="F39" s="10">
        <v>59</v>
      </c>
      <c r="G39" s="9">
        <v>59</v>
      </c>
      <c r="H39" s="8" t="s">
        <v>255</v>
      </c>
      <c r="I39" s="7" t="s">
        <v>3246</v>
      </c>
      <c r="J39" s="11"/>
      <c r="K39" s="7" t="s">
        <v>3217</v>
      </c>
      <c r="L39" s="7" t="s">
        <v>3218</v>
      </c>
      <c r="M39" s="12" t="str">
        <f>HYPERLINK("http://slimages.macys.com/is/image/MCY/3559689 ")</f>
        <v xml:space="preserve">http://slimages.macys.com/is/image/MCY/3559689 </v>
      </c>
    </row>
    <row r="40" spans="1:13" ht="15.2" customHeight="1" x14ac:dyDescent="0.2">
      <c r="A40" s="6" t="s">
        <v>2367</v>
      </c>
      <c r="B40" s="7" t="s">
        <v>2368</v>
      </c>
      <c r="C40" s="8">
        <v>2</v>
      </c>
      <c r="D40" s="9">
        <v>16.45</v>
      </c>
      <c r="E40" s="9">
        <v>32.9</v>
      </c>
      <c r="F40" s="10">
        <v>44.5</v>
      </c>
      <c r="G40" s="9">
        <v>89</v>
      </c>
      <c r="H40" s="8" t="s">
        <v>4231</v>
      </c>
      <c r="I40" s="7" t="s">
        <v>3185</v>
      </c>
      <c r="J40" s="11" t="s">
        <v>3231</v>
      </c>
      <c r="K40" s="7" t="s">
        <v>3232</v>
      </c>
      <c r="L40" s="7" t="s">
        <v>3308</v>
      </c>
      <c r="M40" s="12" t="str">
        <f>HYPERLINK("http://slimages.macys.com/is/image/MCY/3761881 ")</f>
        <v xml:space="preserve">http://slimages.macys.com/is/image/MCY/3761881 </v>
      </c>
    </row>
    <row r="41" spans="1:13" ht="15.2" customHeight="1" x14ac:dyDescent="0.2">
      <c r="A41" s="6" t="s">
        <v>256</v>
      </c>
      <c r="B41" s="7" t="s">
        <v>257</v>
      </c>
      <c r="C41" s="8">
        <v>1</v>
      </c>
      <c r="D41" s="9">
        <v>16.45</v>
      </c>
      <c r="E41" s="9">
        <v>16.45</v>
      </c>
      <c r="F41" s="10">
        <v>44.5</v>
      </c>
      <c r="G41" s="9">
        <v>44.5</v>
      </c>
      <c r="H41" s="8" t="s">
        <v>4231</v>
      </c>
      <c r="I41" s="7" t="s">
        <v>3185</v>
      </c>
      <c r="J41" s="11" t="s">
        <v>3242</v>
      </c>
      <c r="K41" s="7" t="s">
        <v>3232</v>
      </c>
      <c r="L41" s="7" t="s">
        <v>3308</v>
      </c>
      <c r="M41" s="12" t="str">
        <f>HYPERLINK("http://slimages.macys.com/is/image/MCY/3761881 ")</f>
        <v xml:space="preserve">http://slimages.macys.com/is/image/MCY/3761881 </v>
      </c>
    </row>
    <row r="42" spans="1:13" ht="15.2" customHeight="1" x14ac:dyDescent="0.2">
      <c r="A42" s="6" t="s">
        <v>258</v>
      </c>
      <c r="B42" s="7" t="s">
        <v>259</v>
      </c>
      <c r="C42" s="8">
        <v>1</v>
      </c>
      <c r="D42" s="9">
        <v>16.239999999999998</v>
      </c>
      <c r="E42" s="9">
        <v>16.239999999999998</v>
      </c>
      <c r="F42" s="10">
        <v>44.5</v>
      </c>
      <c r="G42" s="9">
        <v>44.5</v>
      </c>
      <c r="H42" s="8" t="s">
        <v>4232</v>
      </c>
      <c r="I42" s="7" t="s">
        <v>3185</v>
      </c>
      <c r="J42" s="11" t="s">
        <v>3202</v>
      </c>
      <c r="K42" s="7" t="s">
        <v>3232</v>
      </c>
      <c r="L42" s="7" t="s">
        <v>3233</v>
      </c>
      <c r="M42" s="12" t="str">
        <f>HYPERLINK("http://slimages.macys.com/is/image/MCY/3811529 ")</f>
        <v xml:space="preserve">http://slimages.macys.com/is/image/MCY/3811529 </v>
      </c>
    </row>
    <row r="43" spans="1:13" ht="15.2" customHeight="1" x14ac:dyDescent="0.2">
      <c r="A43" s="6" t="s">
        <v>260</v>
      </c>
      <c r="B43" s="7" t="s">
        <v>261</v>
      </c>
      <c r="C43" s="8">
        <v>1</v>
      </c>
      <c r="D43" s="9">
        <v>16.239999999999998</v>
      </c>
      <c r="E43" s="9">
        <v>16.239999999999998</v>
      </c>
      <c r="F43" s="10">
        <v>44.5</v>
      </c>
      <c r="G43" s="9">
        <v>44.5</v>
      </c>
      <c r="H43" s="8" t="s">
        <v>2219</v>
      </c>
      <c r="I43" s="7" t="s">
        <v>3191</v>
      </c>
      <c r="J43" s="11" t="s">
        <v>3271</v>
      </c>
      <c r="K43" s="7" t="s">
        <v>3221</v>
      </c>
      <c r="L43" s="7" t="s">
        <v>3224</v>
      </c>
      <c r="M43" s="12" t="str">
        <f>HYPERLINK("http://slimages.macys.com/is/image/MCY/3737052 ")</f>
        <v xml:space="preserve">http://slimages.macys.com/is/image/MCY/3737052 </v>
      </c>
    </row>
    <row r="44" spans="1:13" ht="15.2" customHeight="1" x14ac:dyDescent="0.2">
      <c r="A44" s="6" t="s">
        <v>262</v>
      </c>
      <c r="B44" s="7" t="s">
        <v>263</v>
      </c>
      <c r="C44" s="8">
        <v>1</v>
      </c>
      <c r="D44" s="9">
        <v>15.95</v>
      </c>
      <c r="E44" s="9">
        <v>15.95</v>
      </c>
      <c r="F44" s="10">
        <v>36.99</v>
      </c>
      <c r="G44" s="9">
        <v>36.99</v>
      </c>
      <c r="H44" s="8" t="s">
        <v>264</v>
      </c>
      <c r="I44" s="7" t="s">
        <v>3252</v>
      </c>
      <c r="J44" s="11" t="s">
        <v>3220</v>
      </c>
      <c r="K44" s="7" t="s">
        <v>3221</v>
      </c>
      <c r="L44" s="7" t="s">
        <v>3224</v>
      </c>
      <c r="M44" s="12" t="str">
        <f>HYPERLINK("http://slimages.macys.com/is/image/MCY/2795244 ")</f>
        <v xml:space="preserve">http://slimages.macys.com/is/image/MCY/2795244 </v>
      </c>
    </row>
    <row r="45" spans="1:13" ht="15.2" customHeight="1" x14ac:dyDescent="0.2">
      <c r="A45" s="6" t="s">
        <v>3668</v>
      </c>
      <c r="B45" s="7" t="s">
        <v>3669</v>
      </c>
      <c r="C45" s="8">
        <v>2</v>
      </c>
      <c r="D45" s="9">
        <v>15</v>
      </c>
      <c r="E45" s="9">
        <v>30</v>
      </c>
      <c r="F45" s="10">
        <v>39.5</v>
      </c>
      <c r="G45" s="9">
        <v>79</v>
      </c>
      <c r="H45" s="8" t="s">
        <v>3670</v>
      </c>
      <c r="I45" s="7" t="s">
        <v>3321</v>
      </c>
      <c r="J45" s="11" t="s">
        <v>3231</v>
      </c>
      <c r="K45" s="7" t="s">
        <v>3198</v>
      </c>
      <c r="L45" s="7" t="s">
        <v>3199</v>
      </c>
      <c r="M45" s="12" t="str">
        <f>HYPERLINK("http://slimages.macys.com/is/image/MCY/3895640 ")</f>
        <v xml:space="preserve">http://slimages.macys.com/is/image/MCY/3895640 </v>
      </c>
    </row>
    <row r="46" spans="1:13" ht="15.2" customHeight="1" x14ac:dyDescent="0.2">
      <c r="A46" s="6" t="s">
        <v>3671</v>
      </c>
      <c r="B46" s="7" t="s">
        <v>3672</v>
      </c>
      <c r="C46" s="8">
        <v>1</v>
      </c>
      <c r="D46" s="9">
        <v>15</v>
      </c>
      <c r="E46" s="9">
        <v>15</v>
      </c>
      <c r="F46" s="10">
        <v>39.5</v>
      </c>
      <c r="G46" s="9">
        <v>39.5</v>
      </c>
      <c r="H46" s="8" t="s">
        <v>3670</v>
      </c>
      <c r="I46" s="7" t="s">
        <v>3321</v>
      </c>
      <c r="J46" s="11" t="s">
        <v>3220</v>
      </c>
      <c r="K46" s="7" t="s">
        <v>3198</v>
      </c>
      <c r="L46" s="7" t="s">
        <v>3199</v>
      </c>
      <c r="M46" s="12" t="str">
        <f>HYPERLINK("http://slimages.macys.com/is/image/MCY/3895640 ")</f>
        <v xml:space="preserve">http://slimages.macys.com/is/image/MCY/3895640 </v>
      </c>
    </row>
    <row r="47" spans="1:13" ht="15.2" customHeight="1" x14ac:dyDescent="0.2">
      <c r="A47" s="6" t="s">
        <v>265</v>
      </c>
      <c r="B47" s="7" t="s">
        <v>266</v>
      </c>
      <c r="C47" s="8">
        <v>1</v>
      </c>
      <c r="D47" s="9">
        <v>15</v>
      </c>
      <c r="E47" s="9">
        <v>15</v>
      </c>
      <c r="F47" s="10">
        <v>39.99</v>
      </c>
      <c r="G47" s="9">
        <v>39.99</v>
      </c>
      <c r="H47" s="8" t="s">
        <v>267</v>
      </c>
      <c r="I47" s="7" t="s">
        <v>3640</v>
      </c>
      <c r="J47" s="11" t="s">
        <v>3231</v>
      </c>
      <c r="K47" s="7" t="s">
        <v>3241</v>
      </c>
      <c r="L47" s="7" t="s">
        <v>3296</v>
      </c>
      <c r="M47" s="12" t="str">
        <f>HYPERLINK("http://slimages.macys.com/is/image/MCY/3654662 ")</f>
        <v xml:space="preserve">http://slimages.macys.com/is/image/MCY/3654662 </v>
      </c>
    </row>
    <row r="48" spans="1:13" ht="15.2" customHeight="1" x14ac:dyDescent="0.2">
      <c r="A48" s="6" t="s">
        <v>3673</v>
      </c>
      <c r="B48" s="7" t="s">
        <v>3674</v>
      </c>
      <c r="C48" s="8">
        <v>1</v>
      </c>
      <c r="D48" s="9">
        <v>15</v>
      </c>
      <c r="E48" s="9">
        <v>15</v>
      </c>
      <c r="F48" s="10">
        <v>39.5</v>
      </c>
      <c r="G48" s="9">
        <v>39.5</v>
      </c>
      <c r="H48" s="8" t="s">
        <v>3670</v>
      </c>
      <c r="I48" s="7" t="s">
        <v>3321</v>
      </c>
      <c r="J48" s="11" t="s">
        <v>3242</v>
      </c>
      <c r="K48" s="7" t="s">
        <v>3198</v>
      </c>
      <c r="L48" s="7" t="s">
        <v>3199</v>
      </c>
      <c r="M48" s="12" t="str">
        <f>HYPERLINK("http://slimages.macys.com/is/image/MCY/3895640 ")</f>
        <v xml:space="preserve">http://slimages.macys.com/is/image/MCY/3895640 </v>
      </c>
    </row>
    <row r="49" spans="1:13" ht="15.2" customHeight="1" x14ac:dyDescent="0.2">
      <c r="A49" s="6" t="s">
        <v>268</v>
      </c>
      <c r="B49" s="7" t="s">
        <v>269</v>
      </c>
      <c r="C49" s="8">
        <v>1</v>
      </c>
      <c r="D49" s="9">
        <v>14.5</v>
      </c>
      <c r="E49" s="9">
        <v>14.5</v>
      </c>
      <c r="F49" s="10">
        <v>59</v>
      </c>
      <c r="G49" s="9">
        <v>59</v>
      </c>
      <c r="H49" s="8" t="s">
        <v>2376</v>
      </c>
      <c r="I49" s="7" t="s">
        <v>3321</v>
      </c>
      <c r="J49" s="11" t="s">
        <v>3229</v>
      </c>
      <c r="K49" s="7" t="s">
        <v>3281</v>
      </c>
      <c r="L49" s="7" t="s">
        <v>3292</v>
      </c>
      <c r="M49" s="12" t="str">
        <f>HYPERLINK("http://slimages.macys.com/is/image/MCY/3946710 ")</f>
        <v xml:space="preserve">http://slimages.macys.com/is/image/MCY/3946710 </v>
      </c>
    </row>
    <row r="50" spans="1:13" ht="15.2" customHeight="1" x14ac:dyDescent="0.2">
      <c r="A50" s="6" t="s">
        <v>3313</v>
      </c>
      <c r="B50" s="7" t="s">
        <v>3314</v>
      </c>
      <c r="C50" s="8">
        <v>1</v>
      </c>
      <c r="D50" s="9">
        <v>14.49</v>
      </c>
      <c r="E50" s="9">
        <v>14.49</v>
      </c>
      <c r="F50" s="10">
        <v>39.5</v>
      </c>
      <c r="G50" s="9">
        <v>39.5</v>
      </c>
      <c r="H50" s="8" t="s">
        <v>3315</v>
      </c>
      <c r="I50" s="7" t="s">
        <v>3207</v>
      </c>
      <c r="J50" s="11" t="s">
        <v>3186</v>
      </c>
      <c r="K50" s="7" t="s">
        <v>3232</v>
      </c>
      <c r="L50" s="7" t="s">
        <v>3233</v>
      </c>
      <c r="M50" s="12" t="str">
        <f>HYPERLINK("http://slimages.macys.com/is/image/MCY/3711087 ")</f>
        <v xml:space="preserve">http://slimages.macys.com/is/image/MCY/3711087 </v>
      </c>
    </row>
    <row r="51" spans="1:13" ht="15.2" customHeight="1" x14ac:dyDescent="0.2">
      <c r="A51" s="6" t="s">
        <v>3316</v>
      </c>
      <c r="B51" s="7" t="s">
        <v>3317</v>
      </c>
      <c r="C51" s="8">
        <v>1</v>
      </c>
      <c r="D51" s="9">
        <v>14.49</v>
      </c>
      <c r="E51" s="9">
        <v>14.49</v>
      </c>
      <c r="F51" s="10">
        <v>39.5</v>
      </c>
      <c r="G51" s="9">
        <v>39.5</v>
      </c>
      <c r="H51" s="8" t="s">
        <v>3309</v>
      </c>
      <c r="I51" s="7" t="s">
        <v>3235</v>
      </c>
      <c r="J51" s="11" t="s">
        <v>3231</v>
      </c>
      <c r="K51" s="7" t="s">
        <v>3232</v>
      </c>
      <c r="L51" s="7" t="s">
        <v>3233</v>
      </c>
      <c r="M51" s="12" t="str">
        <f>HYPERLINK("http://slimages.macys.com/is/image/MCY/3369009 ")</f>
        <v xml:space="preserve">http://slimages.macys.com/is/image/MCY/3369009 </v>
      </c>
    </row>
    <row r="52" spans="1:13" ht="15.2" customHeight="1" x14ac:dyDescent="0.2">
      <c r="A52" s="6" t="s">
        <v>270</v>
      </c>
      <c r="B52" s="7" t="s">
        <v>271</v>
      </c>
      <c r="C52" s="8">
        <v>1</v>
      </c>
      <c r="D52" s="9">
        <v>14.41</v>
      </c>
      <c r="E52" s="9">
        <v>14.41</v>
      </c>
      <c r="F52" s="10">
        <v>39.5</v>
      </c>
      <c r="G52" s="9">
        <v>39.5</v>
      </c>
      <c r="H52" s="8" t="s">
        <v>1896</v>
      </c>
      <c r="I52" s="7" t="s">
        <v>3235</v>
      </c>
      <c r="J52" s="11" t="s">
        <v>3202</v>
      </c>
      <c r="K52" s="7" t="s">
        <v>3221</v>
      </c>
      <c r="L52" s="7" t="s">
        <v>3250</v>
      </c>
      <c r="M52" s="12" t="str">
        <f>HYPERLINK("http://slimages.macys.com/is/image/MCY/3702307 ")</f>
        <v xml:space="preserve">http://slimages.macys.com/is/image/MCY/3702307 </v>
      </c>
    </row>
    <row r="53" spans="1:13" ht="15.2" customHeight="1" x14ac:dyDescent="0.2">
      <c r="A53" s="6" t="s">
        <v>2035</v>
      </c>
      <c r="B53" s="7" t="s">
        <v>2036</v>
      </c>
      <c r="C53" s="8">
        <v>1</v>
      </c>
      <c r="D53" s="9">
        <v>14.36</v>
      </c>
      <c r="E53" s="9">
        <v>14.36</v>
      </c>
      <c r="F53" s="10">
        <v>39.5</v>
      </c>
      <c r="G53" s="9">
        <v>39.5</v>
      </c>
      <c r="H53" s="8" t="s">
        <v>2037</v>
      </c>
      <c r="I53" s="7" t="s">
        <v>3267</v>
      </c>
      <c r="J53" s="11" t="s">
        <v>3692</v>
      </c>
      <c r="K53" s="7" t="s">
        <v>3221</v>
      </c>
      <c r="L53" s="7" t="s">
        <v>3224</v>
      </c>
      <c r="M53" s="12" t="str">
        <f>HYPERLINK("http://slimages.macys.com/is/image/MCY/3444364 ")</f>
        <v xml:space="preserve">http://slimages.macys.com/is/image/MCY/3444364 </v>
      </c>
    </row>
    <row r="54" spans="1:13" ht="15.2" customHeight="1" x14ac:dyDescent="0.2">
      <c r="A54" s="6" t="s">
        <v>272</v>
      </c>
      <c r="B54" s="7" t="s">
        <v>273</v>
      </c>
      <c r="C54" s="8">
        <v>1</v>
      </c>
      <c r="D54" s="9">
        <v>14</v>
      </c>
      <c r="E54" s="9">
        <v>14</v>
      </c>
      <c r="F54" s="10">
        <v>44</v>
      </c>
      <c r="G54" s="9">
        <v>44</v>
      </c>
      <c r="H54" s="8" t="s">
        <v>3319</v>
      </c>
      <c r="I54" s="7" t="s">
        <v>3433</v>
      </c>
      <c r="J54" s="11" t="s">
        <v>3220</v>
      </c>
      <c r="K54" s="7" t="s">
        <v>3217</v>
      </c>
      <c r="L54" s="7" t="s">
        <v>3218</v>
      </c>
      <c r="M54" s="12" t="str">
        <f>HYPERLINK("http://slimages.macys.com/is/image/MCY/3667831 ")</f>
        <v xml:space="preserve">http://slimages.macys.com/is/image/MCY/3667831 </v>
      </c>
    </row>
    <row r="55" spans="1:13" ht="15.2" customHeight="1" x14ac:dyDescent="0.2">
      <c r="A55" s="6" t="s">
        <v>2381</v>
      </c>
      <c r="B55" s="7" t="s">
        <v>2382</v>
      </c>
      <c r="C55" s="8">
        <v>1</v>
      </c>
      <c r="D55" s="9">
        <v>14</v>
      </c>
      <c r="E55" s="9">
        <v>14</v>
      </c>
      <c r="F55" s="10">
        <v>59</v>
      </c>
      <c r="G55" s="9">
        <v>59</v>
      </c>
      <c r="H55" s="8" t="s">
        <v>2379</v>
      </c>
      <c r="I55" s="7" t="s">
        <v>3207</v>
      </c>
      <c r="J55" s="11" t="s">
        <v>3236</v>
      </c>
      <c r="K55" s="7" t="s">
        <v>3295</v>
      </c>
      <c r="L55" s="7" t="s">
        <v>3296</v>
      </c>
      <c r="M55" s="12" t="str">
        <f>HYPERLINK("http://slimages.macys.com/is/image/MCY/3721265 ")</f>
        <v xml:space="preserve">http://slimages.macys.com/is/image/MCY/3721265 </v>
      </c>
    </row>
    <row r="56" spans="1:13" ht="15.2" customHeight="1" x14ac:dyDescent="0.2">
      <c r="A56" s="6" t="s">
        <v>274</v>
      </c>
      <c r="B56" s="7" t="s">
        <v>275</v>
      </c>
      <c r="C56" s="8">
        <v>1</v>
      </c>
      <c r="D56" s="9">
        <v>13.5</v>
      </c>
      <c r="E56" s="9">
        <v>13.5</v>
      </c>
      <c r="F56" s="10">
        <v>29.99</v>
      </c>
      <c r="G56" s="9">
        <v>29.99</v>
      </c>
      <c r="H56" s="8" t="s">
        <v>3867</v>
      </c>
      <c r="I56" s="7" t="s">
        <v>3267</v>
      </c>
      <c r="J56" s="11" t="s">
        <v>3331</v>
      </c>
      <c r="K56" s="7" t="s">
        <v>3326</v>
      </c>
      <c r="L56" s="7" t="s">
        <v>3391</v>
      </c>
      <c r="M56" s="12" t="str">
        <f>HYPERLINK("http://slimages.macys.com/is/image/MCY/3631723 ")</f>
        <v xml:space="preserve">http://slimages.macys.com/is/image/MCY/3631723 </v>
      </c>
    </row>
    <row r="57" spans="1:13" ht="15.2" customHeight="1" x14ac:dyDescent="0.2">
      <c r="A57" s="6" t="s">
        <v>276</v>
      </c>
      <c r="B57" s="7" t="s">
        <v>277</v>
      </c>
      <c r="C57" s="8">
        <v>1</v>
      </c>
      <c r="D57" s="9">
        <v>13.5</v>
      </c>
      <c r="E57" s="9">
        <v>13.5</v>
      </c>
      <c r="F57" s="10">
        <v>29.99</v>
      </c>
      <c r="G57" s="9">
        <v>29.99</v>
      </c>
      <c r="H57" s="8" t="s">
        <v>3867</v>
      </c>
      <c r="I57" s="7" t="s">
        <v>3267</v>
      </c>
      <c r="J57" s="11" t="s">
        <v>3340</v>
      </c>
      <c r="K57" s="7" t="s">
        <v>3326</v>
      </c>
      <c r="L57" s="7" t="s">
        <v>3391</v>
      </c>
      <c r="M57" s="12" t="str">
        <f>HYPERLINK("http://slimages.macys.com/is/image/MCY/3631723 ")</f>
        <v xml:space="preserve">http://slimages.macys.com/is/image/MCY/3631723 </v>
      </c>
    </row>
    <row r="58" spans="1:13" ht="15.2" customHeight="1" x14ac:dyDescent="0.2">
      <c r="A58" s="6" t="s">
        <v>2038</v>
      </c>
      <c r="B58" s="7" t="s">
        <v>2039</v>
      </c>
      <c r="C58" s="8">
        <v>1</v>
      </c>
      <c r="D58" s="9">
        <v>13.5</v>
      </c>
      <c r="E58" s="9">
        <v>13.5</v>
      </c>
      <c r="F58" s="10">
        <v>29.99</v>
      </c>
      <c r="G58" s="9">
        <v>29.99</v>
      </c>
      <c r="H58" s="8" t="s">
        <v>2040</v>
      </c>
      <c r="I58" s="7" t="s">
        <v>3386</v>
      </c>
      <c r="J58" s="11" t="s">
        <v>3347</v>
      </c>
      <c r="K58" s="7" t="s">
        <v>3326</v>
      </c>
      <c r="L58" s="7" t="s">
        <v>3391</v>
      </c>
      <c r="M58" s="12" t="str">
        <f>HYPERLINK("http://slimages.macys.com/is/image/MCY/3631723 ")</f>
        <v xml:space="preserve">http://slimages.macys.com/is/image/MCY/3631723 </v>
      </c>
    </row>
    <row r="59" spans="1:13" ht="15.2" customHeight="1" x14ac:dyDescent="0.2">
      <c r="A59" s="6" t="s">
        <v>278</v>
      </c>
      <c r="B59" s="7" t="s">
        <v>279</v>
      </c>
      <c r="C59" s="8">
        <v>1</v>
      </c>
      <c r="D59" s="9">
        <v>13</v>
      </c>
      <c r="E59" s="9">
        <v>13</v>
      </c>
      <c r="F59" s="10">
        <v>29.99</v>
      </c>
      <c r="G59" s="9">
        <v>29.99</v>
      </c>
      <c r="H59" s="8" t="s">
        <v>280</v>
      </c>
      <c r="I59" s="7" t="s">
        <v>3189</v>
      </c>
      <c r="J59" s="11" t="s">
        <v>3336</v>
      </c>
      <c r="K59" s="7" t="s">
        <v>3326</v>
      </c>
      <c r="L59" s="7" t="s">
        <v>3869</v>
      </c>
      <c r="M59" s="12" t="str">
        <f>HYPERLINK("http://slimages.macys.com/is/image/MCY/3625219 ")</f>
        <v xml:space="preserve">http://slimages.macys.com/is/image/MCY/3625219 </v>
      </c>
    </row>
    <row r="60" spans="1:13" ht="15.2" customHeight="1" x14ac:dyDescent="0.2">
      <c r="A60" s="6" t="s">
        <v>4075</v>
      </c>
      <c r="B60" s="7" t="s">
        <v>4076</v>
      </c>
      <c r="C60" s="8">
        <v>1</v>
      </c>
      <c r="D60" s="9">
        <v>12.75</v>
      </c>
      <c r="E60" s="9">
        <v>12.75</v>
      </c>
      <c r="F60" s="10">
        <v>29.99</v>
      </c>
      <c r="G60" s="9">
        <v>29.99</v>
      </c>
      <c r="H60" s="8" t="s">
        <v>3691</v>
      </c>
      <c r="I60" s="7" t="s">
        <v>3185</v>
      </c>
      <c r="J60" s="11" t="s">
        <v>3202</v>
      </c>
      <c r="K60" s="7" t="s">
        <v>3326</v>
      </c>
      <c r="L60" s="7" t="s">
        <v>3327</v>
      </c>
      <c r="M60" s="12" t="str">
        <f>HYPERLINK("http://slimages.macys.com/is/image/MCY/3798023 ")</f>
        <v xml:space="preserve">http://slimages.macys.com/is/image/MCY/3798023 </v>
      </c>
    </row>
    <row r="61" spans="1:13" ht="15.2" customHeight="1" x14ac:dyDescent="0.2">
      <c r="A61" s="6" t="s">
        <v>281</v>
      </c>
      <c r="B61" s="7" t="s">
        <v>282</v>
      </c>
      <c r="C61" s="8">
        <v>1</v>
      </c>
      <c r="D61" s="9">
        <v>12.65</v>
      </c>
      <c r="E61" s="9">
        <v>12.65</v>
      </c>
      <c r="F61" s="10">
        <v>29.99</v>
      </c>
      <c r="G61" s="9">
        <v>29.99</v>
      </c>
      <c r="H61" s="8" t="s">
        <v>283</v>
      </c>
      <c r="I61" s="7" t="s">
        <v>3210</v>
      </c>
      <c r="J61" s="11" t="s">
        <v>3271</v>
      </c>
      <c r="K61" s="7" t="s">
        <v>3326</v>
      </c>
      <c r="L61" s="7" t="s">
        <v>3693</v>
      </c>
      <c r="M61" s="12" t="str">
        <f>HYPERLINK("http://slimages.macys.com/is/image/MCY/3045023 ")</f>
        <v xml:space="preserve">http://slimages.macys.com/is/image/MCY/3045023 </v>
      </c>
    </row>
    <row r="62" spans="1:13" ht="15.2" customHeight="1" x14ac:dyDescent="0.2">
      <c r="A62" s="6" t="s">
        <v>3694</v>
      </c>
      <c r="B62" s="7" t="s">
        <v>3695</v>
      </c>
      <c r="C62" s="8">
        <v>1</v>
      </c>
      <c r="D62" s="9">
        <v>12.6</v>
      </c>
      <c r="E62" s="9">
        <v>12.6</v>
      </c>
      <c r="F62" s="10">
        <v>29.99</v>
      </c>
      <c r="G62" s="9">
        <v>29.99</v>
      </c>
      <c r="H62" s="8" t="s">
        <v>3696</v>
      </c>
      <c r="I62" s="7" t="s">
        <v>3235</v>
      </c>
      <c r="J62" s="11" t="s">
        <v>3202</v>
      </c>
      <c r="K62" s="7" t="s">
        <v>3300</v>
      </c>
      <c r="L62" s="7" t="s">
        <v>3301</v>
      </c>
      <c r="M62" s="12" t="str">
        <f>HYPERLINK("http://slimages.macys.com/is/image/MCY/3857674 ")</f>
        <v xml:space="preserve">http://slimages.macys.com/is/image/MCY/3857674 </v>
      </c>
    </row>
    <row r="63" spans="1:13" ht="15.2" customHeight="1" x14ac:dyDescent="0.2">
      <c r="A63" s="6" t="s">
        <v>4260</v>
      </c>
      <c r="B63" s="7" t="s">
        <v>4261</v>
      </c>
      <c r="C63" s="8">
        <v>1</v>
      </c>
      <c r="D63" s="9">
        <v>12.6</v>
      </c>
      <c r="E63" s="9">
        <v>12.6</v>
      </c>
      <c r="F63" s="10">
        <v>29.99</v>
      </c>
      <c r="G63" s="9">
        <v>29.99</v>
      </c>
      <c r="H63" s="8" t="s">
        <v>3696</v>
      </c>
      <c r="I63" s="7" t="s">
        <v>3394</v>
      </c>
      <c r="J63" s="11" t="s">
        <v>3186</v>
      </c>
      <c r="K63" s="7" t="s">
        <v>3300</v>
      </c>
      <c r="L63" s="7" t="s">
        <v>3301</v>
      </c>
      <c r="M63" s="12" t="str">
        <f>HYPERLINK("http://slimages.macys.com/is/image/MCY/3857674 ")</f>
        <v xml:space="preserve">http://slimages.macys.com/is/image/MCY/3857674 </v>
      </c>
    </row>
    <row r="64" spans="1:13" ht="15.2" customHeight="1" x14ac:dyDescent="0.2">
      <c r="A64" s="6" t="s">
        <v>284</v>
      </c>
      <c r="B64" s="7" t="s">
        <v>285</v>
      </c>
      <c r="C64" s="8">
        <v>1</v>
      </c>
      <c r="D64" s="9">
        <v>12.5</v>
      </c>
      <c r="E64" s="9">
        <v>12.5</v>
      </c>
      <c r="F64" s="10">
        <v>39</v>
      </c>
      <c r="G64" s="9">
        <v>39</v>
      </c>
      <c r="H64" s="8" t="s">
        <v>286</v>
      </c>
      <c r="I64" s="7" t="s">
        <v>3185</v>
      </c>
      <c r="J64" s="11" t="s">
        <v>3220</v>
      </c>
      <c r="K64" s="7" t="s">
        <v>3295</v>
      </c>
      <c r="L64" s="7" t="s">
        <v>3296</v>
      </c>
      <c r="M64" s="12" t="str">
        <f>HYPERLINK("http://slimages.macys.com/is/image/MCY/3718919 ")</f>
        <v xml:space="preserve">http://slimages.macys.com/is/image/MCY/3718919 </v>
      </c>
    </row>
    <row r="65" spans="1:13" ht="15.2" customHeight="1" x14ac:dyDescent="0.2">
      <c r="A65" s="6" t="s">
        <v>287</v>
      </c>
      <c r="B65" s="7" t="s">
        <v>288</v>
      </c>
      <c r="C65" s="8">
        <v>1</v>
      </c>
      <c r="D65" s="9">
        <v>12</v>
      </c>
      <c r="E65" s="9">
        <v>12</v>
      </c>
      <c r="F65" s="10">
        <v>27.99</v>
      </c>
      <c r="G65" s="9">
        <v>27.99</v>
      </c>
      <c r="H65" s="8">
        <v>47730</v>
      </c>
      <c r="I65" s="7" t="s">
        <v>3185</v>
      </c>
      <c r="J65" s="11" t="s">
        <v>3186</v>
      </c>
      <c r="K65" s="7" t="s">
        <v>3323</v>
      </c>
      <c r="L65" s="7" t="s">
        <v>4087</v>
      </c>
      <c r="M65" s="12" t="str">
        <f>HYPERLINK("http://slimages.macys.com/is/image/MCY/3787584 ")</f>
        <v xml:space="preserve">http://slimages.macys.com/is/image/MCY/3787584 </v>
      </c>
    </row>
    <row r="66" spans="1:13" ht="15.2" customHeight="1" x14ac:dyDescent="0.2">
      <c r="A66" s="6" t="s">
        <v>289</v>
      </c>
      <c r="B66" s="7" t="s">
        <v>290</v>
      </c>
      <c r="C66" s="8">
        <v>1</v>
      </c>
      <c r="D66" s="9">
        <v>12</v>
      </c>
      <c r="E66" s="9">
        <v>12</v>
      </c>
      <c r="F66" s="10">
        <v>29.98</v>
      </c>
      <c r="G66" s="9">
        <v>29.98</v>
      </c>
      <c r="H66" s="8" t="s">
        <v>291</v>
      </c>
      <c r="I66" s="7"/>
      <c r="J66" s="11" t="s">
        <v>3202</v>
      </c>
      <c r="K66" s="7" t="s">
        <v>3295</v>
      </c>
      <c r="L66" s="7" t="s">
        <v>3296</v>
      </c>
      <c r="M66" s="12" t="str">
        <f>HYPERLINK("http://slimages.macys.com/is/image/MCY/3266381 ")</f>
        <v xml:space="preserve">http://slimages.macys.com/is/image/MCY/3266381 </v>
      </c>
    </row>
    <row r="67" spans="1:13" ht="15.2" customHeight="1" x14ac:dyDescent="0.2">
      <c r="A67" s="6" t="s">
        <v>292</v>
      </c>
      <c r="B67" s="7" t="s">
        <v>293</v>
      </c>
      <c r="C67" s="8">
        <v>1</v>
      </c>
      <c r="D67" s="9">
        <v>11.76</v>
      </c>
      <c r="E67" s="9">
        <v>11.76</v>
      </c>
      <c r="F67" s="10">
        <v>27.99</v>
      </c>
      <c r="G67" s="9">
        <v>27.99</v>
      </c>
      <c r="H67" s="8" t="s">
        <v>3897</v>
      </c>
      <c r="I67" s="7" t="s">
        <v>3185</v>
      </c>
      <c r="J67" s="11" t="s">
        <v>3231</v>
      </c>
      <c r="K67" s="7" t="s">
        <v>3300</v>
      </c>
      <c r="L67" s="7" t="s">
        <v>3301</v>
      </c>
      <c r="M67" s="12" t="str">
        <f>HYPERLINK("http://slimages.macys.com/is/image/MCY/3899763 ")</f>
        <v xml:space="preserve">http://slimages.macys.com/is/image/MCY/3899763 </v>
      </c>
    </row>
    <row r="68" spans="1:13" ht="15.2" customHeight="1" x14ac:dyDescent="0.2">
      <c r="A68" s="6" t="s">
        <v>3352</v>
      </c>
      <c r="B68" s="7" t="s">
        <v>3353</v>
      </c>
      <c r="C68" s="8">
        <v>1</v>
      </c>
      <c r="D68" s="9">
        <v>11.5</v>
      </c>
      <c r="E68" s="9">
        <v>11.5</v>
      </c>
      <c r="F68" s="10">
        <v>29.99</v>
      </c>
      <c r="G68" s="9">
        <v>29.99</v>
      </c>
      <c r="H68" s="8" t="s">
        <v>3350</v>
      </c>
      <c r="I68" s="7" t="s">
        <v>3207</v>
      </c>
      <c r="J68" s="11" t="s">
        <v>3331</v>
      </c>
      <c r="K68" s="7" t="s">
        <v>3326</v>
      </c>
      <c r="L68" s="7" t="s">
        <v>3327</v>
      </c>
      <c r="M68" s="12" t="str">
        <f>HYPERLINK("http://slimages.macys.com/is/image/MCY/3899624 ")</f>
        <v xml:space="preserve">http://slimages.macys.com/is/image/MCY/3899624 </v>
      </c>
    </row>
    <row r="69" spans="1:13" ht="15.2" customHeight="1" x14ac:dyDescent="0.2">
      <c r="A69" s="6" t="s">
        <v>294</v>
      </c>
      <c r="B69" s="7" t="s">
        <v>295</v>
      </c>
      <c r="C69" s="8">
        <v>1</v>
      </c>
      <c r="D69" s="9">
        <v>11.5</v>
      </c>
      <c r="E69" s="9">
        <v>11.5</v>
      </c>
      <c r="F69" s="10">
        <v>29.99</v>
      </c>
      <c r="G69" s="9">
        <v>29.99</v>
      </c>
      <c r="H69" s="8" t="s">
        <v>1220</v>
      </c>
      <c r="I69" s="7" t="s">
        <v>3182</v>
      </c>
      <c r="J69" s="11" t="s">
        <v>3331</v>
      </c>
      <c r="K69" s="7" t="s">
        <v>3326</v>
      </c>
      <c r="L69" s="7" t="s">
        <v>3693</v>
      </c>
      <c r="M69" s="12" t="str">
        <f>HYPERLINK("http://slimages.macys.com/is/image/MCY/3581689 ")</f>
        <v xml:space="preserve">http://slimages.macys.com/is/image/MCY/3581689 </v>
      </c>
    </row>
    <row r="70" spans="1:13" ht="15.2" customHeight="1" x14ac:dyDescent="0.2">
      <c r="A70" s="6" t="s">
        <v>296</v>
      </c>
      <c r="B70" s="7" t="s">
        <v>297</v>
      </c>
      <c r="C70" s="8">
        <v>1</v>
      </c>
      <c r="D70" s="9">
        <v>11.5</v>
      </c>
      <c r="E70" s="9">
        <v>11.5</v>
      </c>
      <c r="F70" s="10">
        <v>25.99</v>
      </c>
      <c r="G70" s="9">
        <v>25.99</v>
      </c>
      <c r="H70" s="8" t="s">
        <v>298</v>
      </c>
      <c r="I70" s="7" t="s">
        <v>3210</v>
      </c>
      <c r="J70" s="11" t="s">
        <v>299</v>
      </c>
      <c r="K70" s="7" t="s">
        <v>3326</v>
      </c>
      <c r="L70" s="7" t="s">
        <v>3282</v>
      </c>
      <c r="M70" s="12" t="str">
        <f>HYPERLINK("http://slimages.macys.com/is/image/MCY/1812108 ")</f>
        <v xml:space="preserve">http://slimages.macys.com/is/image/MCY/1812108 </v>
      </c>
    </row>
    <row r="71" spans="1:13" ht="15.2" customHeight="1" x14ac:dyDescent="0.2">
      <c r="A71" s="6" t="s">
        <v>2043</v>
      </c>
      <c r="B71" s="7" t="s">
        <v>2044</v>
      </c>
      <c r="C71" s="8">
        <v>1</v>
      </c>
      <c r="D71" s="9">
        <v>11.5</v>
      </c>
      <c r="E71" s="9">
        <v>11.5</v>
      </c>
      <c r="F71" s="10">
        <v>25.99</v>
      </c>
      <c r="G71" s="9">
        <v>25.99</v>
      </c>
      <c r="H71" s="8" t="s">
        <v>2042</v>
      </c>
      <c r="I71" s="7" t="s">
        <v>3185</v>
      </c>
      <c r="J71" s="11" t="s">
        <v>3351</v>
      </c>
      <c r="K71" s="7" t="s">
        <v>3326</v>
      </c>
      <c r="L71" s="7" t="s">
        <v>3282</v>
      </c>
      <c r="M71" s="12" t="str">
        <f>HYPERLINK("http://slimages.macys.com/is/image/MCY/1246397 ")</f>
        <v xml:space="preserve">http://slimages.macys.com/is/image/MCY/1246397 </v>
      </c>
    </row>
    <row r="72" spans="1:13" ht="15.2" customHeight="1" x14ac:dyDescent="0.2">
      <c r="A72" s="6" t="s">
        <v>300</v>
      </c>
      <c r="B72" s="7" t="s">
        <v>301</v>
      </c>
      <c r="C72" s="8">
        <v>1</v>
      </c>
      <c r="D72" s="9">
        <v>11.5</v>
      </c>
      <c r="E72" s="9">
        <v>11.5</v>
      </c>
      <c r="F72" s="10">
        <v>29.5</v>
      </c>
      <c r="G72" s="9">
        <v>29.5</v>
      </c>
      <c r="H72" s="8" t="s">
        <v>302</v>
      </c>
      <c r="I72" s="7" t="s">
        <v>3219</v>
      </c>
      <c r="J72" s="11" t="s">
        <v>3347</v>
      </c>
      <c r="K72" s="7" t="s">
        <v>3326</v>
      </c>
      <c r="L72" s="7" t="s">
        <v>3282</v>
      </c>
      <c r="M72" s="12" t="str">
        <f>HYPERLINK("http://slimages.macys.com/is/image/MCY/1248151 ")</f>
        <v xml:space="preserve">http://slimages.macys.com/is/image/MCY/1248151 </v>
      </c>
    </row>
    <row r="73" spans="1:13" ht="15.2" customHeight="1" x14ac:dyDescent="0.2">
      <c r="A73" s="6" t="s">
        <v>3357</v>
      </c>
      <c r="B73" s="7" t="s">
        <v>3358</v>
      </c>
      <c r="C73" s="8">
        <v>1</v>
      </c>
      <c r="D73" s="9">
        <v>11</v>
      </c>
      <c r="E73" s="9">
        <v>11</v>
      </c>
      <c r="F73" s="10">
        <v>22.99</v>
      </c>
      <c r="G73" s="9">
        <v>22.99</v>
      </c>
      <c r="H73" s="8" t="s">
        <v>3359</v>
      </c>
      <c r="I73" s="7" t="s">
        <v>3203</v>
      </c>
      <c r="J73" s="11" t="s">
        <v>3242</v>
      </c>
      <c r="K73" s="7" t="s">
        <v>3326</v>
      </c>
      <c r="L73" s="7" t="s">
        <v>3360</v>
      </c>
      <c r="M73" s="12" t="str">
        <f>HYPERLINK("http://slimages.macys.com/is/image/MCY/3755177 ")</f>
        <v xml:space="preserve">http://slimages.macys.com/is/image/MCY/3755177 </v>
      </c>
    </row>
    <row r="74" spans="1:13" ht="15.2" customHeight="1" x14ac:dyDescent="0.2">
      <c r="A74" s="6" t="s">
        <v>303</v>
      </c>
      <c r="B74" s="7" t="s">
        <v>304</v>
      </c>
      <c r="C74" s="8">
        <v>1</v>
      </c>
      <c r="D74" s="9">
        <v>10.65</v>
      </c>
      <c r="E74" s="9">
        <v>10.65</v>
      </c>
      <c r="F74" s="10">
        <v>27.99</v>
      </c>
      <c r="G74" s="9">
        <v>27.99</v>
      </c>
      <c r="H74" s="8" t="s">
        <v>3913</v>
      </c>
      <c r="I74" s="7" t="s">
        <v>3228</v>
      </c>
      <c r="J74" s="11" t="s">
        <v>3186</v>
      </c>
      <c r="K74" s="7" t="s">
        <v>3343</v>
      </c>
      <c r="L74" s="7" t="s">
        <v>3354</v>
      </c>
      <c r="M74" s="12" t="str">
        <f>HYPERLINK("http://slimages.macys.com/is/image/MCY/3787610 ")</f>
        <v xml:space="preserve">http://slimages.macys.com/is/image/MCY/3787610 </v>
      </c>
    </row>
    <row r="75" spans="1:13" ht="15.2" customHeight="1" x14ac:dyDescent="0.2">
      <c r="A75" s="6" t="s">
        <v>1991</v>
      </c>
      <c r="B75" s="7" t="s">
        <v>1992</v>
      </c>
      <c r="C75" s="8">
        <v>1</v>
      </c>
      <c r="D75" s="9">
        <v>10.6</v>
      </c>
      <c r="E75" s="9">
        <v>10.6</v>
      </c>
      <c r="F75" s="10">
        <v>24.99</v>
      </c>
      <c r="G75" s="9">
        <v>24.99</v>
      </c>
      <c r="H75" s="8" t="s">
        <v>2241</v>
      </c>
      <c r="I75" s="7" t="s">
        <v>3185</v>
      </c>
      <c r="J75" s="11" t="s">
        <v>3231</v>
      </c>
      <c r="K75" s="7" t="s">
        <v>3334</v>
      </c>
      <c r="L75" s="7" t="s">
        <v>3324</v>
      </c>
      <c r="M75" s="12" t="str">
        <f>HYPERLINK("http://slimages.macys.com/is/image/MCY/3832165 ")</f>
        <v xml:space="preserve">http://slimages.macys.com/is/image/MCY/3832165 </v>
      </c>
    </row>
    <row r="76" spans="1:13" ht="15.2" customHeight="1" x14ac:dyDescent="0.2">
      <c r="A76" s="6" t="s">
        <v>2694</v>
      </c>
      <c r="B76" s="7" t="s">
        <v>2695</v>
      </c>
      <c r="C76" s="8">
        <v>1</v>
      </c>
      <c r="D76" s="9">
        <v>10.6</v>
      </c>
      <c r="E76" s="9">
        <v>10.6</v>
      </c>
      <c r="F76" s="10">
        <v>24.99</v>
      </c>
      <c r="G76" s="9">
        <v>24.99</v>
      </c>
      <c r="H76" s="8" t="s">
        <v>3363</v>
      </c>
      <c r="I76" s="7" t="s">
        <v>3364</v>
      </c>
      <c r="J76" s="11" t="s">
        <v>3231</v>
      </c>
      <c r="K76" s="7" t="s">
        <v>3334</v>
      </c>
      <c r="L76" s="7" t="s">
        <v>3324</v>
      </c>
      <c r="M76" s="12" t="str">
        <f>HYPERLINK("http://slimages.macys.com/is/image/MCY/3899669 ")</f>
        <v xml:space="preserve">http://slimages.macys.com/is/image/MCY/3899669 </v>
      </c>
    </row>
    <row r="77" spans="1:13" ht="15.2" customHeight="1" x14ac:dyDescent="0.2">
      <c r="A77" s="6" t="s">
        <v>305</v>
      </c>
      <c r="B77" s="7" t="s">
        <v>306</v>
      </c>
      <c r="C77" s="8">
        <v>1</v>
      </c>
      <c r="D77" s="9">
        <v>10.6</v>
      </c>
      <c r="E77" s="9">
        <v>10.6</v>
      </c>
      <c r="F77" s="10">
        <v>24.99</v>
      </c>
      <c r="G77" s="9">
        <v>24.99</v>
      </c>
      <c r="H77" s="8" t="s">
        <v>3363</v>
      </c>
      <c r="I77" s="7" t="s">
        <v>3185</v>
      </c>
      <c r="J77" s="11" t="s">
        <v>3186</v>
      </c>
      <c r="K77" s="7" t="s">
        <v>3334</v>
      </c>
      <c r="L77" s="7" t="s">
        <v>3324</v>
      </c>
      <c r="M77" s="12" t="str">
        <f>HYPERLINK("http://slimages.macys.com/is/image/MCY/3899669 ")</f>
        <v xml:space="preserve">http://slimages.macys.com/is/image/MCY/3899669 </v>
      </c>
    </row>
    <row r="78" spans="1:13" ht="15.2" customHeight="1" x14ac:dyDescent="0.2">
      <c r="A78" s="6" t="s">
        <v>307</v>
      </c>
      <c r="B78" s="7" t="s">
        <v>308</v>
      </c>
      <c r="C78" s="8">
        <v>2</v>
      </c>
      <c r="D78" s="9">
        <v>10.6</v>
      </c>
      <c r="E78" s="9">
        <v>21.2</v>
      </c>
      <c r="F78" s="10">
        <v>24.99</v>
      </c>
      <c r="G78" s="9">
        <v>49.98</v>
      </c>
      <c r="H78" s="8" t="s">
        <v>3363</v>
      </c>
      <c r="I78" s="7" t="s">
        <v>3364</v>
      </c>
      <c r="J78" s="11" t="s">
        <v>3202</v>
      </c>
      <c r="K78" s="7" t="s">
        <v>3334</v>
      </c>
      <c r="L78" s="7" t="s">
        <v>3324</v>
      </c>
      <c r="M78" s="12" t="str">
        <f>HYPERLINK("http://slimages.macys.com/is/image/MCY/3899669 ")</f>
        <v xml:space="preserve">http://slimages.macys.com/is/image/MCY/3899669 </v>
      </c>
    </row>
    <row r="79" spans="1:13" ht="15.2" customHeight="1" x14ac:dyDescent="0.2">
      <c r="A79" s="6" t="s">
        <v>2045</v>
      </c>
      <c r="B79" s="7" t="s">
        <v>2046</v>
      </c>
      <c r="C79" s="8">
        <v>2</v>
      </c>
      <c r="D79" s="9">
        <v>10.6</v>
      </c>
      <c r="E79" s="9">
        <v>21.2</v>
      </c>
      <c r="F79" s="10">
        <v>24.99</v>
      </c>
      <c r="G79" s="9">
        <v>49.98</v>
      </c>
      <c r="H79" s="8" t="s">
        <v>2241</v>
      </c>
      <c r="I79" s="7" t="s">
        <v>3185</v>
      </c>
      <c r="J79" s="11" t="s">
        <v>3202</v>
      </c>
      <c r="K79" s="7" t="s">
        <v>3334</v>
      </c>
      <c r="L79" s="7" t="s">
        <v>3324</v>
      </c>
      <c r="M79" s="12" t="str">
        <f>HYPERLINK("http://slimages.macys.com/is/image/MCY/3832165 ")</f>
        <v xml:space="preserve">http://slimages.macys.com/is/image/MCY/3832165 </v>
      </c>
    </row>
    <row r="80" spans="1:13" ht="15.2" customHeight="1" x14ac:dyDescent="0.2">
      <c r="A80" s="6" t="s">
        <v>309</v>
      </c>
      <c r="B80" s="7" t="s">
        <v>310</v>
      </c>
      <c r="C80" s="8">
        <v>1</v>
      </c>
      <c r="D80" s="9">
        <v>10.6</v>
      </c>
      <c r="E80" s="9">
        <v>10.6</v>
      </c>
      <c r="F80" s="10">
        <v>24.99</v>
      </c>
      <c r="G80" s="9">
        <v>24.99</v>
      </c>
      <c r="H80" s="8" t="s">
        <v>2241</v>
      </c>
      <c r="I80" s="7" t="s">
        <v>3185</v>
      </c>
      <c r="J80" s="11" t="s">
        <v>3220</v>
      </c>
      <c r="K80" s="7" t="s">
        <v>3334</v>
      </c>
      <c r="L80" s="7" t="s">
        <v>3324</v>
      </c>
      <c r="M80" s="12" t="str">
        <f>HYPERLINK("http://slimages.macys.com/is/image/MCY/3832165 ")</f>
        <v xml:space="preserve">http://slimages.macys.com/is/image/MCY/3832165 </v>
      </c>
    </row>
    <row r="81" spans="1:13" ht="15.2" customHeight="1" x14ac:dyDescent="0.2">
      <c r="A81" s="6" t="s">
        <v>311</v>
      </c>
      <c r="B81" s="7" t="s">
        <v>312</v>
      </c>
      <c r="C81" s="8">
        <v>1</v>
      </c>
      <c r="D81" s="9">
        <v>10.6</v>
      </c>
      <c r="E81" s="9">
        <v>10.6</v>
      </c>
      <c r="F81" s="10">
        <v>24.99</v>
      </c>
      <c r="G81" s="9">
        <v>24.99</v>
      </c>
      <c r="H81" s="8" t="s">
        <v>3363</v>
      </c>
      <c r="I81" s="7" t="s">
        <v>3185</v>
      </c>
      <c r="J81" s="11" t="s">
        <v>3231</v>
      </c>
      <c r="K81" s="7" t="s">
        <v>3334</v>
      </c>
      <c r="L81" s="7" t="s">
        <v>3324</v>
      </c>
      <c r="M81" s="12" t="str">
        <f>HYPERLINK("http://slimages.macys.com/is/image/MCY/3899669 ")</f>
        <v xml:space="preserve">http://slimages.macys.com/is/image/MCY/3899669 </v>
      </c>
    </row>
    <row r="82" spans="1:13" ht="15.2" customHeight="1" x14ac:dyDescent="0.2">
      <c r="A82" s="6" t="s">
        <v>2702</v>
      </c>
      <c r="B82" s="7" t="s">
        <v>2703</v>
      </c>
      <c r="C82" s="8">
        <v>1</v>
      </c>
      <c r="D82" s="9">
        <v>10.5</v>
      </c>
      <c r="E82" s="9">
        <v>10.5</v>
      </c>
      <c r="F82" s="10">
        <v>27.99</v>
      </c>
      <c r="G82" s="9">
        <v>27.99</v>
      </c>
      <c r="H82" s="8" t="s">
        <v>3711</v>
      </c>
      <c r="I82" s="7" t="s">
        <v>3210</v>
      </c>
      <c r="J82" s="11" t="s">
        <v>3186</v>
      </c>
      <c r="K82" s="7" t="s">
        <v>3343</v>
      </c>
      <c r="L82" s="7" t="s">
        <v>3356</v>
      </c>
      <c r="M82" s="12" t="str">
        <f>HYPERLINK("http://slimages.macys.com/is/image/MCY/3910853 ")</f>
        <v xml:space="preserve">http://slimages.macys.com/is/image/MCY/3910853 </v>
      </c>
    </row>
    <row r="83" spans="1:13" ht="15.2" customHeight="1" x14ac:dyDescent="0.2">
      <c r="A83" s="6" t="s">
        <v>313</v>
      </c>
      <c r="B83" s="7" t="s">
        <v>314</v>
      </c>
      <c r="C83" s="8">
        <v>1</v>
      </c>
      <c r="D83" s="9">
        <v>10.5</v>
      </c>
      <c r="E83" s="9">
        <v>10.5</v>
      </c>
      <c r="F83" s="10">
        <v>24.99</v>
      </c>
      <c r="G83" s="9">
        <v>24.99</v>
      </c>
      <c r="H83" s="8" t="s">
        <v>3370</v>
      </c>
      <c r="I83" s="7" t="s">
        <v>3207</v>
      </c>
      <c r="J83" s="11" t="s">
        <v>3231</v>
      </c>
      <c r="K83" s="7" t="s">
        <v>3343</v>
      </c>
      <c r="L83" s="7" t="s">
        <v>3371</v>
      </c>
      <c r="M83" s="12" t="str">
        <f>HYPERLINK("http://slimages.macys.com/is/image/MCY/3832935 ")</f>
        <v xml:space="preserve">http://slimages.macys.com/is/image/MCY/3832935 </v>
      </c>
    </row>
    <row r="84" spans="1:13" ht="15.2" customHeight="1" x14ac:dyDescent="0.2">
      <c r="A84" s="6" t="s">
        <v>1799</v>
      </c>
      <c r="B84" s="7" t="s">
        <v>1800</v>
      </c>
      <c r="C84" s="8">
        <v>1</v>
      </c>
      <c r="D84" s="9">
        <v>10.5</v>
      </c>
      <c r="E84" s="9">
        <v>10.5</v>
      </c>
      <c r="F84" s="10">
        <v>24.99</v>
      </c>
      <c r="G84" s="9">
        <v>24.99</v>
      </c>
      <c r="H84" s="8" t="s">
        <v>3370</v>
      </c>
      <c r="I84" s="7" t="s">
        <v>3207</v>
      </c>
      <c r="J84" s="11" t="s">
        <v>3186</v>
      </c>
      <c r="K84" s="7" t="s">
        <v>3343</v>
      </c>
      <c r="L84" s="7" t="s">
        <v>3371</v>
      </c>
      <c r="M84" s="12" t="str">
        <f>HYPERLINK("http://slimages.macys.com/is/image/MCY/3832935 ")</f>
        <v xml:space="preserve">http://slimages.macys.com/is/image/MCY/3832935 </v>
      </c>
    </row>
    <row r="85" spans="1:13" ht="15.2" customHeight="1" x14ac:dyDescent="0.2">
      <c r="A85" s="6" t="s">
        <v>315</v>
      </c>
      <c r="B85" s="7" t="s">
        <v>316</v>
      </c>
      <c r="C85" s="8">
        <v>1</v>
      </c>
      <c r="D85" s="9">
        <v>10.5</v>
      </c>
      <c r="E85" s="9">
        <v>10.5</v>
      </c>
      <c r="F85" s="10">
        <v>27.99</v>
      </c>
      <c r="G85" s="9">
        <v>27.99</v>
      </c>
      <c r="H85" s="8" t="s">
        <v>3366</v>
      </c>
      <c r="I85" s="7" t="s">
        <v>3191</v>
      </c>
      <c r="J85" s="11" t="s">
        <v>3231</v>
      </c>
      <c r="K85" s="7" t="s">
        <v>3343</v>
      </c>
      <c r="L85" s="7" t="s">
        <v>3367</v>
      </c>
      <c r="M85" s="12" t="str">
        <f>HYPERLINK("http://slimages.macys.com/is/image/MCY/3798053 ")</f>
        <v xml:space="preserve">http://slimages.macys.com/is/image/MCY/3798053 </v>
      </c>
    </row>
    <row r="86" spans="1:13" ht="15.2" customHeight="1" x14ac:dyDescent="0.2">
      <c r="A86" s="6" t="s">
        <v>317</v>
      </c>
      <c r="B86" s="7" t="s">
        <v>318</v>
      </c>
      <c r="C86" s="8">
        <v>1</v>
      </c>
      <c r="D86" s="9">
        <v>10.5</v>
      </c>
      <c r="E86" s="9">
        <v>10.5</v>
      </c>
      <c r="F86" s="10">
        <v>24.99</v>
      </c>
      <c r="G86" s="9">
        <v>24.99</v>
      </c>
      <c r="H86" s="8" t="s">
        <v>3370</v>
      </c>
      <c r="I86" s="7" t="s">
        <v>3207</v>
      </c>
      <c r="J86" s="11" t="s">
        <v>3220</v>
      </c>
      <c r="K86" s="7" t="s">
        <v>3343</v>
      </c>
      <c r="L86" s="7" t="s">
        <v>3371</v>
      </c>
      <c r="M86" s="12" t="str">
        <f>HYPERLINK("http://slimages.macys.com/is/image/MCY/3832935 ")</f>
        <v xml:space="preserve">http://slimages.macys.com/is/image/MCY/3832935 </v>
      </c>
    </row>
    <row r="87" spans="1:13" ht="15.2" customHeight="1" x14ac:dyDescent="0.2">
      <c r="A87" s="6" t="s">
        <v>1606</v>
      </c>
      <c r="B87" s="7" t="s">
        <v>1607</v>
      </c>
      <c r="C87" s="8">
        <v>1</v>
      </c>
      <c r="D87" s="9">
        <v>10.5</v>
      </c>
      <c r="E87" s="9">
        <v>10.5</v>
      </c>
      <c r="F87" s="10">
        <v>25.99</v>
      </c>
      <c r="G87" s="9">
        <v>25.99</v>
      </c>
      <c r="H87" s="8" t="s">
        <v>3920</v>
      </c>
      <c r="I87" s="7" t="s">
        <v>3257</v>
      </c>
      <c r="J87" s="11" t="s">
        <v>3338</v>
      </c>
      <c r="K87" s="7" t="s">
        <v>3326</v>
      </c>
      <c r="L87" s="7" t="s">
        <v>3282</v>
      </c>
      <c r="M87" s="12" t="str">
        <f>HYPERLINK("http://slimages.macys.com/is/image/MCY/3773860 ")</f>
        <v xml:space="preserve">http://slimages.macys.com/is/image/MCY/3773860 </v>
      </c>
    </row>
    <row r="88" spans="1:13" ht="15.2" customHeight="1" x14ac:dyDescent="0.2">
      <c r="A88" s="6" t="s">
        <v>2049</v>
      </c>
      <c r="B88" s="7" t="s">
        <v>2050</v>
      </c>
      <c r="C88" s="8">
        <v>1</v>
      </c>
      <c r="D88" s="9">
        <v>10.5</v>
      </c>
      <c r="E88" s="9">
        <v>10.5</v>
      </c>
      <c r="F88" s="10">
        <v>25.99</v>
      </c>
      <c r="G88" s="9">
        <v>25.99</v>
      </c>
      <c r="H88" s="8" t="s">
        <v>3920</v>
      </c>
      <c r="I88" s="7" t="s">
        <v>3333</v>
      </c>
      <c r="J88" s="11" t="s">
        <v>3351</v>
      </c>
      <c r="K88" s="7" t="s">
        <v>3326</v>
      </c>
      <c r="L88" s="7" t="s">
        <v>3282</v>
      </c>
      <c r="M88" s="12" t="str">
        <f>HYPERLINK("http://slimages.macys.com/is/image/MCY/3773860 ")</f>
        <v xml:space="preserve">http://slimages.macys.com/is/image/MCY/3773860 </v>
      </c>
    </row>
    <row r="89" spans="1:13" ht="15.2" customHeight="1" x14ac:dyDescent="0.2">
      <c r="A89" s="6" t="s">
        <v>2047</v>
      </c>
      <c r="B89" s="7" t="s">
        <v>2048</v>
      </c>
      <c r="C89" s="8">
        <v>1</v>
      </c>
      <c r="D89" s="9">
        <v>10.5</v>
      </c>
      <c r="E89" s="9">
        <v>10.5</v>
      </c>
      <c r="F89" s="10">
        <v>27.99</v>
      </c>
      <c r="G89" s="9">
        <v>27.99</v>
      </c>
      <c r="H89" s="8" t="s">
        <v>3711</v>
      </c>
      <c r="I89" s="7" t="s">
        <v>3210</v>
      </c>
      <c r="J89" s="11" t="s">
        <v>3220</v>
      </c>
      <c r="K89" s="7" t="s">
        <v>3343</v>
      </c>
      <c r="L89" s="7" t="s">
        <v>3356</v>
      </c>
      <c r="M89" s="12" t="str">
        <f>HYPERLINK("http://slimages.macys.com/is/image/MCY/3910853 ")</f>
        <v xml:space="preserve">http://slimages.macys.com/is/image/MCY/3910853 </v>
      </c>
    </row>
    <row r="90" spans="1:13" ht="15.2" customHeight="1" x14ac:dyDescent="0.2">
      <c r="A90" s="6" t="s">
        <v>2051</v>
      </c>
      <c r="B90" s="7" t="s">
        <v>2052</v>
      </c>
      <c r="C90" s="8">
        <v>1</v>
      </c>
      <c r="D90" s="9">
        <v>10.5</v>
      </c>
      <c r="E90" s="9">
        <v>10.5</v>
      </c>
      <c r="F90" s="10">
        <v>26.99</v>
      </c>
      <c r="G90" s="9">
        <v>26.99</v>
      </c>
      <c r="H90" s="8" t="s">
        <v>2242</v>
      </c>
      <c r="I90" s="7" t="s">
        <v>3246</v>
      </c>
      <c r="J90" s="11" t="s">
        <v>3202</v>
      </c>
      <c r="K90" s="7" t="s">
        <v>3241</v>
      </c>
      <c r="L90" s="7" t="s">
        <v>3365</v>
      </c>
      <c r="M90" s="12" t="str">
        <f>HYPERLINK("http://slimages.macys.com/is/image/MCY/3666154 ")</f>
        <v xml:space="preserve">http://slimages.macys.com/is/image/MCY/3666154 </v>
      </c>
    </row>
    <row r="91" spans="1:13" ht="15.2" customHeight="1" x14ac:dyDescent="0.2">
      <c r="A91" s="6" t="s">
        <v>319</v>
      </c>
      <c r="B91" s="7" t="s">
        <v>320</v>
      </c>
      <c r="C91" s="8">
        <v>1</v>
      </c>
      <c r="D91" s="9">
        <v>10.49</v>
      </c>
      <c r="E91" s="9">
        <v>10.49</v>
      </c>
      <c r="F91" s="10">
        <v>29.5</v>
      </c>
      <c r="G91" s="9">
        <v>29.5</v>
      </c>
      <c r="H91" s="8" t="s">
        <v>3372</v>
      </c>
      <c r="I91" s="7" t="s">
        <v>3207</v>
      </c>
      <c r="J91" s="11" t="s">
        <v>3186</v>
      </c>
      <c r="K91" s="7" t="s">
        <v>3232</v>
      </c>
      <c r="L91" s="7" t="s">
        <v>3306</v>
      </c>
      <c r="M91" s="12" t="str">
        <f>HYPERLINK("http://slimages.macys.com/is/image/MCY/3789872 ")</f>
        <v xml:space="preserve">http://slimages.macys.com/is/image/MCY/3789872 </v>
      </c>
    </row>
    <row r="92" spans="1:13" ht="15.2" customHeight="1" x14ac:dyDescent="0.2">
      <c r="A92" s="6" t="s">
        <v>321</v>
      </c>
      <c r="B92" s="7" t="s">
        <v>322</v>
      </c>
      <c r="C92" s="8">
        <v>1</v>
      </c>
      <c r="D92" s="9">
        <v>10.49</v>
      </c>
      <c r="E92" s="9">
        <v>10.49</v>
      </c>
      <c r="F92" s="10">
        <v>29.5</v>
      </c>
      <c r="G92" s="9">
        <v>29.5</v>
      </c>
      <c r="H92" s="8" t="s">
        <v>3372</v>
      </c>
      <c r="I92" s="7" t="s">
        <v>3207</v>
      </c>
      <c r="J92" s="11" t="s">
        <v>3220</v>
      </c>
      <c r="K92" s="7" t="s">
        <v>3232</v>
      </c>
      <c r="L92" s="7" t="s">
        <v>3306</v>
      </c>
      <c r="M92" s="12" t="str">
        <f>HYPERLINK("http://slimages.macys.com/is/image/MCY/3789872 ")</f>
        <v xml:space="preserve">http://slimages.macys.com/is/image/MCY/3789872 </v>
      </c>
    </row>
    <row r="93" spans="1:13" ht="15.2" customHeight="1" x14ac:dyDescent="0.2">
      <c r="A93" s="6" t="s">
        <v>2055</v>
      </c>
      <c r="B93" s="7" t="s">
        <v>2056</v>
      </c>
      <c r="C93" s="8">
        <v>3</v>
      </c>
      <c r="D93" s="9">
        <v>10.4</v>
      </c>
      <c r="E93" s="9">
        <v>31.2</v>
      </c>
      <c r="F93" s="10">
        <v>24.99</v>
      </c>
      <c r="G93" s="9">
        <v>74.97</v>
      </c>
      <c r="H93" s="8" t="s">
        <v>3714</v>
      </c>
      <c r="I93" s="7" t="s">
        <v>3185</v>
      </c>
      <c r="J93" s="11" t="s">
        <v>3186</v>
      </c>
      <c r="K93" s="7" t="s">
        <v>3334</v>
      </c>
      <c r="L93" s="7" t="s">
        <v>3324</v>
      </c>
      <c r="M93" s="12" t="str">
        <f>HYPERLINK("http://slimages.macys.com/is/image/MCY/3774116 ")</f>
        <v xml:space="preserve">http://slimages.macys.com/is/image/MCY/3774116 </v>
      </c>
    </row>
    <row r="94" spans="1:13" ht="15.2" customHeight="1" x14ac:dyDescent="0.2">
      <c r="A94" s="6" t="s">
        <v>1801</v>
      </c>
      <c r="B94" s="7" t="s">
        <v>1802</v>
      </c>
      <c r="C94" s="8">
        <v>2</v>
      </c>
      <c r="D94" s="9">
        <v>10.4</v>
      </c>
      <c r="E94" s="9">
        <v>20.8</v>
      </c>
      <c r="F94" s="10">
        <v>24.99</v>
      </c>
      <c r="G94" s="9">
        <v>49.98</v>
      </c>
      <c r="H94" s="8" t="s">
        <v>3714</v>
      </c>
      <c r="I94" s="7" t="s">
        <v>3185</v>
      </c>
      <c r="J94" s="11" t="s">
        <v>3202</v>
      </c>
      <c r="K94" s="7" t="s">
        <v>3334</v>
      </c>
      <c r="L94" s="7" t="s">
        <v>3324</v>
      </c>
      <c r="M94" s="12" t="str">
        <f>HYPERLINK("http://slimages.macys.com/is/image/MCY/3774116 ")</f>
        <v xml:space="preserve">http://slimages.macys.com/is/image/MCY/3774116 </v>
      </c>
    </row>
    <row r="95" spans="1:13" ht="15.2" customHeight="1" x14ac:dyDescent="0.2">
      <c r="A95" s="6" t="s">
        <v>2249</v>
      </c>
      <c r="B95" s="7" t="s">
        <v>2250</v>
      </c>
      <c r="C95" s="8">
        <v>1</v>
      </c>
      <c r="D95" s="9">
        <v>10.4</v>
      </c>
      <c r="E95" s="9">
        <v>10.4</v>
      </c>
      <c r="F95" s="10">
        <v>24.99</v>
      </c>
      <c r="G95" s="9">
        <v>24.99</v>
      </c>
      <c r="H95" s="8" t="s">
        <v>3375</v>
      </c>
      <c r="I95" s="7" t="s">
        <v>3364</v>
      </c>
      <c r="J95" s="11" t="s">
        <v>3202</v>
      </c>
      <c r="K95" s="7" t="s">
        <v>3334</v>
      </c>
      <c r="L95" s="7" t="s">
        <v>3324</v>
      </c>
      <c r="M95" s="12" t="str">
        <f>HYPERLINK("http://slimages.macys.com/is/image/MCY/3883081 ")</f>
        <v xml:space="preserve">http://slimages.macys.com/is/image/MCY/3883081 </v>
      </c>
    </row>
    <row r="96" spans="1:13" ht="15.2" customHeight="1" x14ac:dyDescent="0.2">
      <c r="A96" s="6" t="s">
        <v>323</v>
      </c>
      <c r="B96" s="7" t="s">
        <v>324</v>
      </c>
      <c r="C96" s="8">
        <v>1</v>
      </c>
      <c r="D96" s="9">
        <v>10.4</v>
      </c>
      <c r="E96" s="9">
        <v>10.4</v>
      </c>
      <c r="F96" s="10">
        <v>24.99</v>
      </c>
      <c r="G96" s="9">
        <v>24.99</v>
      </c>
      <c r="H96" s="8" t="s">
        <v>3714</v>
      </c>
      <c r="I96" s="7" t="s">
        <v>3185</v>
      </c>
      <c r="J96" s="11" t="s">
        <v>3220</v>
      </c>
      <c r="K96" s="7" t="s">
        <v>3334</v>
      </c>
      <c r="L96" s="7" t="s">
        <v>3324</v>
      </c>
      <c r="M96" s="12" t="str">
        <f>HYPERLINK("http://slimages.macys.com/is/image/MCY/3774116 ")</f>
        <v xml:space="preserve">http://slimages.macys.com/is/image/MCY/3774116 </v>
      </c>
    </row>
    <row r="97" spans="1:13" ht="15.2" customHeight="1" x14ac:dyDescent="0.2">
      <c r="A97" s="6" t="s">
        <v>325</v>
      </c>
      <c r="B97" s="7" t="s">
        <v>326</v>
      </c>
      <c r="C97" s="8">
        <v>1</v>
      </c>
      <c r="D97" s="9">
        <v>10</v>
      </c>
      <c r="E97" s="9">
        <v>10</v>
      </c>
      <c r="F97" s="10">
        <v>39</v>
      </c>
      <c r="G97" s="9">
        <v>39</v>
      </c>
      <c r="H97" s="8" t="s">
        <v>327</v>
      </c>
      <c r="I97" s="7" t="s">
        <v>3185</v>
      </c>
      <c r="J97" s="11" t="s">
        <v>3347</v>
      </c>
      <c r="K97" s="7" t="s">
        <v>3295</v>
      </c>
      <c r="L97" s="7" t="s">
        <v>3296</v>
      </c>
      <c r="M97" s="12" t="str">
        <f>HYPERLINK("http://slimages.macys.com/is/image/MCY/3667611 ")</f>
        <v xml:space="preserve">http://slimages.macys.com/is/image/MCY/3667611 </v>
      </c>
    </row>
    <row r="98" spans="1:13" ht="15.2" customHeight="1" x14ac:dyDescent="0.2">
      <c r="A98" s="6" t="s">
        <v>328</v>
      </c>
      <c r="B98" s="7" t="s">
        <v>329</v>
      </c>
      <c r="C98" s="8">
        <v>1</v>
      </c>
      <c r="D98" s="9">
        <v>9.75</v>
      </c>
      <c r="E98" s="9">
        <v>9.75</v>
      </c>
      <c r="F98" s="10">
        <v>19.989999999999998</v>
      </c>
      <c r="G98" s="9">
        <v>19.989999999999998</v>
      </c>
      <c r="H98" s="8" t="s">
        <v>2251</v>
      </c>
      <c r="I98" s="7" t="s">
        <v>3246</v>
      </c>
      <c r="J98" s="11" t="s">
        <v>3220</v>
      </c>
      <c r="K98" s="7" t="s">
        <v>3323</v>
      </c>
      <c r="L98" s="7" t="s">
        <v>3369</v>
      </c>
      <c r="M98" s="12" t="str">
        <f>HYPERLINK("http://slimages.macys.com/is/image/MCY/3755166 ")</f>
        <v xml:space="preserve">http://slimages.macys.com/is/image/MCY/3755166 </v>
      </c>
    </row>
    <row r="99" spans="1:13" ht="15.2" customHeight="1" x14ac:dyDescent="0.2">
      <c r="A99" s="6" t="s">
        <v>330</v>
      </c>
      <c r="B99" s="7" t="s">
        <v>331</v>
      </c>
      <c r="C99" s="8">
        <v>1</v>
      </c>
      <c r="D99" s="9">
        <v>9.75</v>
      </c>
      <c r="E99" s="9">
        <v>9.75</v>
      </c>
      <c r="F99" s="10">
        <v>19.989999999999998</v>
      </c>
      <c r="G99" s="9">
        <v>19.989999999999998</v>
      </c>
      <c r="H99" s="8" t="s">
        <v>2251</v>
      </c>
      <c r="I99" s="7" t="s">
        <v>3234</v>
      </c>
      <c r="J99" s="11" t="s">
        <v>3242</v>
      </c>
      <c r="K99" s="7" t="s">
        <v>3323</v>
      </c>
      <c r="L99" s="7" t="s">
        <v>3369</v>
      </c>
      <c r="M99" s="12" t="str">
        <f>HYPERLINK("http://slimages.macys.com/is/image/MCY/3755166 ")</f>
        <v xml:space="preserve">http://slimages.macys.com/is/image/MCY/3755166 </v>
      </c>
    </row>
    <row r="100" spans="1:13" ht="15.2" customHeight="1" x14ac:dyDescent="0.2">
      <c r="A100" s="6" t="s">
        <v>332</v>
      </c>
      <c r="B100" s="7" t="s">
        <v>333</v>
      </c>
      <c r="C100" s="8">
        <v>1</v>
      </c>
      <c r="D100" s="9">
        <v>9.5</v>
      </c>
      <c r="E100" s="9">
        <v>9.5</v>
      </c>
      <c r="F100" s="10">
        <v>22.99</v>
      </c>
      <c r="G100" s="9">
        <v>22.99</v>
      </c>
      <c r="H100" s="8" t="s">
        <v>334</v>
      </c>
      <c r="I100" s="7" t="s">
        <v>3201</v>
      </c>
      <c r="J100" s="11" t="s">
        <v>3242</v>
      </c>
      <c r="K100" s="7" t="s">
        <v>3334</v>
      </c>
      <c r="L100" s="7" t="s">
        <v>3324</v>
      </c>
      <c r="M100" s="12" t="str">
        <f>HYPERLINK("http://slimages.macys.com/is/image/MCY/3738472 ")</f>
        <v xml:space="preserve">http://slimages.macys.com/is/image/MCY/3738472 </v>
      </c>
    </row>
    <row r="101" spans="1:13" ht="15.2" customHeight="1" x14ac:dyDescent="0.2">
      <c r="A101" s="6" t="s">
        <v>335</v>
      </c>
      <c r="B101" s="7" t="s">
        <v>336</v>
      </c>
      <c r="C101" s="8">
        <v>1</v>
      </c>
      <c r="D101" s="9">
        <v>9.5</v>
      </c>
      <c r="E101" s="9">
        <v>9.5</v>
      </c>
      <c r="F101" s="10">
        <v>24.99</v>
      </c>
      <c r="G101" s="9">
        <v>24.99</v>
      </c>
      <c r="H101" s="8" t="s">
        <v>3392</v>
      </c>
      <c r="I101" s="7" t="s">
        <v>3182</v>
      </c>
      <c r="J101" s="11" t="s">
        <v>3242</v>
      </c>
      <c r="K101" s="7" t="s">
        <v>3343</v>
      </c>
      <c r="L101" s="7" t="s">
        <v>3356</v>
      </c>
      <c r="M101" s="12" t="str">
        <f>HYPERLINK("http://slimages.macys.com/is/image/MCY/3719840 ")</f>
        <v xml:space="preserve">http://slimages.macys.com/is/image/MCY/3719840 </v>
      </c>
    </row>
    <row r="102" spans="1:13" ht="15.2" customHeight="1" x14ac:dyDescent="0.2">
      <c r="A102" s="6" t="s">
        <v>337</v>
      </c>
      <c r="B102" s="7" t="s">
        <v>338</v>
      </c>
      <c r="C102" s="8">
        <v>1</v>
      </c>
      <c r="D102" s="9">
        <v>9.25</v>
      </c>
      <c r="E102" s="9">
        <v>9.25</v>
      </c>
      <c r="F102" s="10">
        <v>19.989999999999998</v>
      </c>
      <c r="G102" s="9">
        <v>19.989999999999998</v>
      </c>
      <c r="H102" s="8">
        <v>60427717</v>
      </c>
      <c r="I102" s="7" t="s">
        <v>3214</v>
      </c>
      <c r="J102" s="11" t="s">
        <v>3186</v>
      </c>
      <c r="K102" s="7" t="s">
        <v>3334</v>
      </c>
      <c r="L102" s="7" t="s">
        <v>3368</v>
      </c>
      <c r="M102" s="12" t="str">
        <f>HYPERLINK("http://slimages.macys.com/is/image/MCY/3503053 ")</f>
        <v xml:space="preserve">http://slimages.macys.com/is/image/MCY/3503053 </v>
      </c>
    </row>
    <row r="103" spans="1:13" ht="15.2" customHeight="1" x14ac:dyDescent="0.2">
      <c r="A103" s="6" t="s">
        <v>339</v>
      </c>
      <c r="B103" s="7" t="s">
        <v>340</v>
      </c>
      <c r="C103" s="8">
        <v>1</v>
      </c>
      <c r="D103" s="9">
        <v>9.24</v>
      </c>
      <c r="E103" s="9">
        <v>9.24</v>
      </c>
      <c r="F103" s="10">
        <v>21.99</v>
      </c>
      <c r="G103" s="9">
        <v>21.99</v>
      </c>
      <c r="H103" s="8" t="s">
        <v>341</v>
      </c>
      <c r="I103" s="7" t="s">
        <v>3185</v>
      </c>
      <c r="J103" s="11" t="s">
        <v>3231</v>
      </c>
      <c r="K103" s="7" t="s">
        <v>3300</v>
      </c>
      <c r="L103" s="7" t="s">
        <v>3301</v>
      </c>
      <c r="M103" s="12" t="str">
        <f>HYPERLINK("http://slimages.macys.com/is/image/MCY/3813783 ")</f>
        <v xml:space="preserve">http://slimages.macys.com/is/image/MCY/3813783 </v>
      </c>
    </row>
    <row r="104" spans="1:13" ht="15.2" customHeight="1" x14ac:dyDescent="0.2">
      <c r="A104" s="6" t="s">
        <v>342</v>
      </c>
      <c r="B104" s="7" t="s">
        <v>343</v>
      </c>
      <c r="C104" s="8">
        <v>1</v>
      </c>
      <c r="D104" s="9">
        <v>9.24</v>
      </c>
      <c r="E104" s="9">
        <v>9.24</v>
      </c>
      <c r="F104" s="10">
        <v>21.99</v>
      </c>
      <c r="G104" s="9">
        <v>21.99</v>
      </c>
      <c r="H104" s="8" t="s">
        <v>344</v>
      </c>
      <c r="I104" s="7" t="s">
        <v>3185</v>
      </c>
      <c r="J104" s="11" t="s">
        <v>3231</v>
      </c>
      <c r="K104" s="7" t="s">
        <v>3300</v>
      </c>
      <c r="L104" s="7" t="s">
        <v>3301</v>
      </c>
      <c r="M104" s="12" t="str">
        <f>HYPERLINK("http://slimages.macys.com/is/image/MCY/3738488 ")</f>
        <v xml:space="preserve">http://slimages.macys.com/is/image/MCY/3738488 </v>
      </c>
    </row>
    <row r="105" spans="1:13" ht="15.2" customHeight="1" x14ac:dyDescent="0.2">
      <c r="A105" s="6" t="s">
        <v>345</v>
      </c>
      <c r="B105" s="7" t="s">
        <v>346</v>
      </c>
      <c r="C105" s="8">
        <v>1</v>
      </c>
      <c r="D105" s="9">
        <v>9.24</v>
      </c>
      <c r="E105" s="9">
        <v>9.24</v>
      </c>
      <c r="F105" s="10">
        <v>21.99</v>
      </c>
      <c r="G105" s="9">
        <v>21.99</v>
      </c>
      <c r="H105" s="8" t="s">
        <v>4276</v>
      </c>
      <c r="I105" s="7" t="s">
        <v>3185</v>
      </c>
      <c r="J105" s="11" t="s">
        <v>3231</v>
      </c>
      <c r="K105" s="7" t="s">
        <v>3300</v>
      </c>
      <c r="L105" s="7" t="s">
        <v>3301</v>
      </c>
      <c r="M105" s="12" t="str">
        <f>HYPERLINK("http://slimages.macys.com/is/image/MCY/3813787 ")</f>
        <v xml:space="preserve">http://slimages.macys.com/is/image/MCY/3813787 </v>
      </c>
    </row>
    <row r="106" spans="1:13" ht="15.2" customHeight="1" x14ac:dyDescent="0.2">
      <c r="A106" s="6" t="s">
        <v>347</v>
      </c>
      <c r="B106" s="7" t="s">
        <v>348</v>
      </c>
      <c r="C106" s="8">
        <v>1</v>
      </c>
      <c r="D106" s="9">
        <v>9.24</v>
      </c>
      <c r="E106" s="9">
        <v>9.24</v>
      </c>
      <c r="F106" s="10">
        <v>21.99</v>
      </c>
      <c r="G106" s="9">
        <v>21.99</v>
      </c>
      <c r="H106" s="8" t="s">
        <v>341</v>
      </c>
      <c r="I106" s="7" t="s">
        <v>3185</v>
      </c>
      <c r="J106" s="11" t="s">
        <v>3242</v>
      </c>
      <c r="K106" s="7" t="s">
        <v>3300</v>
      </c>
      <c r="L106" s="7" t="s">
        <v>3301</v>
      </c>
      <c r="M106" s="12" t="str">
        <f>HYPERLINK("http://slimages.macys.com/is/image/MCY/3813783 ")</f>
        <v xml:space="preserve">http://slimages.macys.com/is/image/MCY/3813783 </v>
      </c>
    </row>
    <row r="107" spans="1:13" ht="15.2" customHeight="1" x14ac:dyDescent="0.2">
      <c r="A107" s="6" t="s">
        <v>3718</v>
      </c>
      <c r="B107" s="7" t="s">
        <v>3719</v>
      </c>
      <c r="C107" s="8">
        <v>1</v>
      </c>
      <c r="D107" s="9">
        <v>9.2200000000000006</v>
      </c>
      <c r="E107" s="9">
        <v>9.2200000000000006</v>
      </c>
      <c r="F107" s="10">
        <v>21.99</v>
      </c>
      <c r="G107" s="9">
        <v>21.99</v>
      </c>
      <c r="H107" s="8" t="s">
        <v>3720</v>
      </c>
      <c r="I107" s="7" t="s">
        <v>3185</v>
      </c>
      <c r="J107" s="11" t="s">
        <v>3202</v>
      </c>
      <c r="K107" s="7" t="s">
        <v>3300</v>
      </c>
      <c r="L107" s="7" t="s">
        <v>3301</v>
      </c>
      <c r="M107" s="12" t="str">
        <f>HYPERLINK("http://slimages.macys.com/is/image/MCY/3857711 ")</f>
        <v xml:space="preserve">http://slimages.macys.com/is/image/MCY/3857711 </v>
      </c>
    </row>
    <row r="108" spans="1:13" ht="15.2" customHeight="1" x14ac:dyDescent="0.2">
      <c r="A108" s="6" t="s">
        <v>2260</v>
      </c>
      <c r="B108" s="7" t="s">
        <v>2261</v>
      </c>
      <c r="C108" s="8">
        <v>1</v>
      </c>
      <c r="D108" s="9">
        <v>9.2200000000000006</v>
      </c>
      <c r="E108" s="9">
        <v>9.2200000000000006</v>
      </c>
      <c r="F108" s="10">
        <v>21.99</v>
      </c>
      <c r="G108" s="9">
        <v>21.99</v>
      </c>
      <c r="H108" s="8" t="s">
        <v>3395</v>
      </c>
      <c r="I108" s="7" t="s">
        <v>3185</v>
      </c>
      <c r="J108" s="11" t="s">
        <v>3242</v>
      </c>
      <c r="K108" s="7" t="s">
        <v>3300</v>
      </c>
      <c r="L108" s="7" t="s">
        <v>3301</v>
      </c>
      <c r="M108" s="12" t="str">
        <f>HYPERLINK("http://slimages.macys.com/is/image/MCY/3857709 ")</f>
        <v xml:space="preserve">http://slimages.macys.com/is/image/MCY/3857709 </v>
      </c>
    </row>
    <row r="109" spans="1:13" ht="15.2" customHeight="1" x14ac:dyDescent="0.2">
      <c r="A109" s="6" t="s">
        <v>2264</v>
      </c>
      <c r="B109" s="7" t="s">
        <v>2265</v>
      </c>
      <c r="C109" s="8">
        <v>1</v>
      </c>
      <c r="D109" s="9">
        <v>9.1999999999999993</v>
      </c>
      <c r="E109" s="9">
        <v>9.1999999999999993</v>
      </c>
      <c r="F109" s="10">
        <v>21.99</v>
      </c>
      <c r="G109" s="9">
        <v>21.99</v>
      </c>
      <c r="H109" s="8" t="s">
        <v>4101</v>
      </c>
      <c r="I109" s="7" t="s">
        <v>3263</v>
      </c>
      <c r="J109" s="11" t="s">
        <v>3220</v>
      </c>
      <c r="K109" s="7" t="s">
        <v>3300</v>
      </c>
      <c r="L109" s="7" t="s">
        <v>3301</v>
      </c>
      <c r="M109" s="12" t="str">
        <f>HYPERLINK("http://slimages.macys.com/is/image/MCY/3857655 ")</f>
        <v xml:space="preserve">http://slimages.macys.com/is/image/MCY/3857655 </v>
      </c>
    </row>
    <row r="110" spans="1:13" ht="15.2" customHeight="1" x14ac:dyDescent="0.2">
      <c r="A110" s="6" t="s">
        <v>349</v>
      </c>
      <c r="B110" s="7" t="s">
        <v>350</v>
      </c>
      <c r="C110" s="8">
        <v>1</v>
      </c>
      <c r="D110" s="9">
        <v>9.1999999999999993</v>
      </c>
      <c r="E110" s="9">
        <v>9.1999999999999993</v>
      </c>
      <c r="F110" s="10">
        <v>21.99</v>
      </c>
      <c r="G110" s="9">
        <v>21.99</v>
      </c>
      <c r="H110" s="8" t="s">
        <v>351</v>
      </c>
      <c r="I110" s="7" t="s">
        <v>3416</v>
      </c>
      <c r="J110" s="11" t="s">
        <v>3202</v>
      </c>
      <c r="K110" s="7" t="s">
        <v>3300</v>
      </c>
      <c r="L110" s="7" t="s">
        <v>3301</v>
      </c>
      <c r="M110" s="12" t="str">
        <f>HYPERLINK("http://slimages.macys.com/is/image/MCY/3664653 ")</f>
        <v xml:space="preserve">http://slimages.macys.com/is/image/MCY/3664653 </v>
      </c>
    </row>
    <row r="111" spans="1:13" ht="15.2" customHeight="1" x14ac:dyDescent="0.2">
      <c r="A111" s="6" t="s">
        <v>352</v>
      </c>
      <c r="B111" s="7" t="s">
        <v>353</v>
      </c>
      <c r="C111" s="8">
        <v>1</v>
      </c>
      <c r="D111" s="9">
        <v>9.15</v>
      </c>
      <c r="E111" s="9">
        <v>9.15</v>
      </c>
      <c r="F111" s="10">
        <v>21.99</v>
      </c>
      <c r="G111" s="9">
        <v>21.99</v>
      </c>
      <c r="H111" s="8" t="s">
        <v>2403</v>
      </c>
      <c r="I111" s="7" t="s">
        <v>2404</v>
      </c>
      <c r="J111" s="11" t="s">
        <v>3236</v>
      </c>
      <c r="K111" s="7" t="s">
        <v>3300</v>
      </c>
      <c r="L111" s="7" t="s">
        <v>3301</v>
      </c>
      <c r="M111" s="12" t="str">
        <f>HYPERLINK("http://slimages.macys.com/is/image/MCY/3664655 ")</f>
        <v xml:space="preserve">http://slimages.macys.com/is/image/MCY/3664655 </v>
      </c>
    </row>
    <row r="112" spans="1:13" ht="15.2" customHeight="1" x14ac:dyDescent="0.2">
      <c r="A112" s="6" t="s">
        <v>4111</v>
      </c>
      <c r="B112" s="7" t="s">
        <v>4112</v>
      </c>
      <c r="C112" s="8">
        <v>1</v>
      </c>
      <c r="D112" s="9">
        <v>9.1</v>
      </c>
      <c r="E112" s="9">
        <v>9.1</v>
      </c>
      <c r="F112" s="10">
        <v>19.989999999999998</v>
      </c>
      <c r="G112" s="9">
        <v>19.989999999999998</v>
      </c>
      <c r="H112" s="8" t="s">
        <v>3401</v>
      </c>
      <c r="I112" s="7" t="s">
        <v>3321</v>
      </c>
      <c r="J112" s="11" t="s">
        <v>3186</v>
      </c>
      <c r="K112" s="7" t="s">
        <v>3343</v>
      </c>
      <c r="L112" s="7" t="s">
        <v>3384</v>
      </c>
      <c r="M112" s="12" t="str">
        <f>HYPERLINK("http://slimages.macys.com/is/image/MCY/3821780 ")</f>
        <v xml:space="preserve">http://slimages.macys.com/is/image/MCY/3821780 </v>
      </c>
    </row>
    <row r="113" spans="1:13" ht="15.2" customHeight="1" x14ac:dyDescent="0.2">
      <c r="A113" s="6" t="s">
        <v>3945</v>
      </c>
      <c r="B113" s="7" t="s">
        <v>3946</v>
      </c>
      <c r="C113" s="8">
        <v>1</v>
      </c>
      <c r="D113" s="9">
        <v>9</v>
      </c>
      <c r="E113" s="9">
        <v>9</v>
      </c>
      <c r="F113" s="10">
        <v>19.989999999999998</v>
      </c>
      <c r="G113" s="9">
        <v>19.989999999999998</v>
      </c>
      <c r="H113" s="8">
        <v>60433877</v>
      </c>
      <c r="I113" s="7" t="s">
        <v>3185</v>
      </c>
      <c r="J113" s="11" t="s">
        <v>3220</v>
      </c>
      <c r="K113" s="7" t="s">
        <v>3343</v>
      </c>
      <c r="L113" s="7" t="s">
        <v>3368</v>
      </c>
      <c r="M113" s="12" t="str">
        <f>HYPERLINK("http://slimages.macys.com/is/image/MCY/3910888 ")</f>
        <v xml:space="preserve">http://slimages.macys.com/is/image/MCY/3910888 </v>
      </c>
    </row>
    <row r="114" spans="1:13" ht="15.2" customHeight="1" x14ac:dyDescent="0.2">
      <c r="A114" s="6" t="s">
        <v>354</v>
      </c>
      <c r="B114" s="7" t="s">
        <v>355</v>
      </c>
      <c r="C114" s="8">
        <v>1</v>
      </c>
      <c r="D114" s="9">
        <v>8.75</v>
      </c>
      <c r="E114" s="9">
        <v>8.75</v>
      </c>
      <c r="F114" s="10">
        <v>19.989999999999998</v>
      </c>
      <c r="G114" s="9">
        <v>19.989999999999998</v>
      </c>
      <c r="H114" s="8" t="s">
        <v>4284</v>
      </c>
      <c r="I114" s="7" t="s">
        <v>3191</v>
      </c>
      <c r="J114" s="11" t="s">
        <v>3186</v>
      </c>
      <c r="K114" s="7" t="s">
        <v>3323</v>
      </c>
      <c r="L114" s="7" t="s">
        <v>3371</v>
      </c>
      <c r="M114" s="12" t="str">
        <f>HYPERLINK("http://slimages.macys.com/is/image/MCY/3623304 ")</f>
        <v xml:space="preserve">http://slimages.macys.com/is/image/MCY/3623304 </v>
      </c>
    </row>
    <row r="115" spans="1:13" ht="15.2" customHeight="1" x14ac:dyDescent="0.2">
      <c r="A115" s="6" t="s">
        <v>356</v>
      </c>
      <c r="B115" s="7" t="s">
        <v>357</v>
      </c>
      <c r="C115" s="8">
        <v>1</v>
      </c>
      <c r="D115" s="9">
        <v>8.69</v>
      </c>
      <c r="E115" s="9">
        <v>8.69</v>
      </c>
      <c r="F115" s="10">
        <v>16.989999999999998</v>
      </c>
      <c r="G115" s="9">
        <v>16.989999999999998</v>
      </c>
      <c r="H115" s="8">
        <v>60433928</v>
      </c>
      <c r="I115" s="7" t="s">
        <v>3185</v>
      </c>
      <c r="J115" s="11" t="s">
        <v>3186</v>
      </c>
      <c r="K115" s="7" t="s">
        <v>3334</v>
      </c>
      <c r="L115" s="7" t="s">
        <v>3368</v>
      </c>
      <c r="M115" s="12" t="str">
        <f>HYPERLINK("http://slimages.macys.com/is/image/MCY/3623246 ")</f>
        <v xml:space="preserve">http://slimages.macys.com/is/image/MCY/3623246 </v>
      </c>
    </row>
    <row r="116" spans="1:13" ht="15.2" customHeight="1" x14ac:dyDescent="0.2">
      <c r="A116" s="6" t="s">
        <v>1613</v>
      </c>
      <c r="B116" s="7" t="s">
        <v>1614</v>
      </c>
      <c r="C116" s="8">
        <v>1</v>
      </c>
      <c r="D116" s="9">
        <v>8.69</v>
      </c>
      <c r="E116" s="9">
        <v>8.69</v>
      </c>
      <c r="F116" s="10">
        <v>16.989999999999998</v>
      </c>
      <c r="G116" s="9">
        <v>16.989999999999998</v>
      </c>
      <c r="H116" s="8">
        <v>60433928</v>
      </c>
      <c r="I116" s="7" t="s">
        <v>3185</v>
      </c>
      <c r="J116" s="11" t="s">
        <v>3231</v>
      </c>
      <c r="K116" s="7" t="s">
        <v>3334</v>
      </c>
      <c r="L116" s="7" t="s">
        <v>3368</v>
      </c>
      <c r="M116" s="12" t="str">
        <f>HYPERLINK("http://slimages.macys.com/is/image/MCY/3623246 ")</f>
        <v xml:space="preserve">http://slimages.macys.com/is/image/MCY/3623246 </v>
      </c>
    </row>
    <row r="117" spans="1:13" ht="15.2" customHeight="1" x14ac:dyDescent="0.2">
      <c r="A117" s="6" t="s">
        <v>2782</v>
      </c>
      <c r="B117" s="7" t="s">
        <v>2783</v>
      </c>
      <c r="C117" s="8">
        <v>1</v>
      </c>
      <c r="D117" s="9">
        <v>8.5500000000000007</v>
      </c>
      <c r="E117" s="9">
        <v>8.5500000000000007</v>
      </c>
      <c r="F117" s="10">
        <v>19.989999999999998</v>
      </c>
      <c r="G117" s="9">
        <v>19.989999999999998</v>
      </c>
      <c r="H117" s="8" t="s">
        <v>2778</v>
      </c>
      <c r="I117" s="7" t="s">
        <v>3182</v>
      </c>
      <c r="J117" s="11" t="s">
        <v>3202</v>
      </c>
      <c r="K117" s="7" t="s">
        <v>3343</v>
      </c>
      <c r="L117" s="7" t="s">
        <v>3367</v>
      </c>
      <c r="M117" s="12" t="str">
        <f>HYPERLINK("http://slimages.macys.com/is/image/MCY/3931020 ")</f>
        <v xml:space="preserve">http://slimages.macys.com/is/image/MCY/3931020 </v>
      </c>
    </row>
    <row r="118" spans="1:13" ht="15.2" customHeight="1" x14ac:dyDescent="0.2">
      <c r="A118" s="6" t="s">
        <v>2779</v>
      </c>
      <c r="B118" s="7" t="s">
        <v>2780</v>
      </c>
      <c r="C118" s="8">
        <v>1</v>
      </c>
      <c r="D118" s="9">
        <v>8.5500000000000007</v>
      </c>
      <c r="E118" s="9">
        <v>8.5500000000000007</v>
      </c>
      <c r="F118" s="10">
        <v>19.989999999999998</v>
      </c>
      <c r="G118" s="9">
        <v>19.989999999999998</v>
      </c>
      <c r="H118" s="8" t="s">
        <v>2781</v>
      </c>
      <c r="I118" s="7" t="s">
        <v>3257</v>
      </c>
      <c r="J118" s="11" t="s">
        <v>3202</v>
      </c>
      <c r="K118" s="7" t="s">
        <v>3343</v>
      </c>
      <c r="L118" s="7" t="s">
        <v>3367</v>
      </c>
      <c r="M118" s="12" t="str">
        <f>HYPERLINK("http://slimages.macys.com/is/image/MCY/3853618 ")</f>
        <v xml:space="preserve">http://slimages.macys.com/is/image/MCY/3853618 </v>
      </c>
    </row>
    <row r="119" spans="1:13" ht="15.2" customHeight="1" x14ac:dyDescent="0.2">
      <c r="A119" s="6" t="s">
        <v>2059</v>
      </c>
      <c r="B119" s="7" t="s">
        <v>2060</v>
      </c>
      <c r="C119" s="8">
        <v>2</v>
      </c>
      <c r="D119" s="9">
        <v>8.5</v>
      </c>
      <c r="E119" s="9">
        <v>17</v>
      </c>
      <c r="F119" s="10">
        <v>22.99</v>
      </c>
      <c r="G119" s="9">
        <v>45.98</v>
      </c>
      <c r="H119" s="8" t="s">
        <v>3958</v>
      </c>
      <c r="I119" s="7" t="s">
        <v>3185</v>
      </c>
      <c r="J119" s="11" t="s">
        <v>3186</v>
      </c>
      <c r="K119" s="7" t="s">
        <v>3326</v>
      </c>
      <c r="L119" s="7" t="s">
        <v>3409</v>
      </c>
      <c r="M119" s="12" t="str">
        <f>HYPERLINK("http://slimages.macys.com/is/image/MCY/3937156 ")</f>
        <v xml:space="preserve">http://slimages.macys.com/is/image/MCY/3937156 </v>
      </c>
    </row>
    <row r="120" spans="1:13" ht="15.2" customHeight="1" x14ac:dyDescent="0.2">
      <c r="A120" s="6" t="s">
        <v>3728</v>
      </c>
      <c r="B120" s="7" t="s">
        <v>3729</v>
      </c>
      <c r="C120" s="8">
        <v>1</v>
      </c>
      <c r="D120" s="9">
        <v>8.5</v>
      </c>
      <c r="E120" s="9">
        <v>8.5</v>
      </c>
      <c r="F120" s="10">
        <v>19.989999999999998</v>
      </c>
      <c r="G120" s="9">
        <v>19.989999999999998</v>
      </c>
      <c r="H120" s="8" t="s">
        <v>3408</v>
      </c>
      <c r="I120" s="7" t="s">
        <v>3182</v>
      </c>
      <c r="J120" s="11" t="s">
        <v>3231</v>
      </c>
      <c r="K120" s="7" t="s">
        <v>3323</v>
      </c>
      <c r="L120" s="7" t="s">
        <v>3356</v>
      </c>
      <c r="M120" s="12" t="str">
        <f>HYPERLINK("http://slimages.macys.com/is/image/MCY/3890900 ")</f>
        <v xml:space="preserve">http://slimages.macys.com/is/image/MCY/3890900 </v>
      </c>
    </row>
    <row r="121" spans="1:13" ht="15.2" customHeight="1" x14ac:dyDescent="0.2">
      <c r="A121" s="6" t="s">
        <v>2409</v>
      </c>
      <c r="B121" s="7" t="s">
        <v>2410</v>
      </c>
      <c r="C121" s="8">
        <v>1</v>
      </c>
      <c r="D121" s="9">
        <v>8.5</v>
      </c>
      <c r="E121" s="9">
        <v>8.5</v>
      </c>
      <c r="F121" s="10">
        <v>19.989999999999998</v>
      </c>
      <c r="G121" s="9">
        <v>19.989999999999998</v>
      </c>
      <c r="H121" s="8" t="s">
        <v>3727</v>
      </c>
      <c r="I121" s="7" t="s">
        <v>3185</v>
      </c>
      <c r="J121" s="11" t="s">
        <v>3231</v>
      </c>
      <c r="K121" s="7" t="s">
        <v>3387</v>
      </c>
      <c r="L121" s="7" t="s">
        <v>3404</v>
      </c>
      <c r="M121" s="12" t="str">
        <f>HYPERLINK("http://slimages.macys.com/is/image/MCY/3853693 ")</f>
        <v xml:space="preserve">http://slimages.macys.com/is/image/MCY/3853693 </v>
      </c>
    </row>
    <row r="122" spans="1:13" ht="15.2" customHeight="1" x14ac:dyDescent="0.2">
      <c r="A122" s="6" t="s">
        <v>358</v>
      </c>
      <c r="B122" s="7" t="s">
        <v>359</v>
      </c>
      <c r="C122" s="8">
        <v>1</v>
      </c>
      <c r="D122" s="9">
        <v>8.5</v>
      </c>
      <c r="E122" s="9">
        <v>8.5</v>
      </c>
      <c r="F122" s="10">
        <v>19.989999999999998</v>
      </c>
      <c r="G122" s="9">
        <v>19.989999999999998</v>
      </c>
      <c r="H122" s="8" t="s">
        <v>4118</v>
      </c>
      <c r="I122" s="7" t="s">
        <v>3185</v>
      </c>
      <c r="J122" s="11" t="s">
        <v>3186</v>
      </c>
      <c r="K122" s="7" t="s">
        <v>3323</v>
      </c>
      <c r="L122" s="7" t="s">
        <v>3931</v>
      </c>
      <c r="M122" s="12" t="str">
        <f>HYPERLINK("http://slimages.macys.com/is/image/MCY/3947073 ")</f>
        <v xml:space="preserve">http://slimages.macys.com/is/image/MCY/3947073 </v>
      </c>
    </row>
    <row r="123" spans="1:13" ht="15.2" customHeight="1" x14ac:dyDescent="0.2">
      <c r="A123" s="6" t="s">
        <v>3956</v>
      </c>
      <c r="B123" s="7" t="s">
        <v>3957</v>
      </c>
      <c r="C123" s="8">
        <v>1</v>
      </c>
      <c r="D123" s="9">
        <v>8.5</v>
      </c>
      <c r="E123" s="9">
        <v>8.5</v>
      </c>
      <c r="F123" s="10">
        <v>22.99</v>
      </c>
      <c r="G123" s="9">
        <v>22.99</v>
      </c>
      <c r="H123" s="8" t="s">
        <v>3958</v>
      </c>
      <c r="I123" s="7" t="s">
        <v>3185</v>
      </c>
      <c r="J123" s="11" t="s">
        <v>3202</v>
      </c>
      <c r="K123" s="7" t="s">
        <v>3326</v>
      </c>
      <c r="L123" s="7" t="s">
        <v>3409</v>
      </c>
      <c r="M123" s="12" t="str">
        <f>HYPERLINK("http://slimages.macys.com/is/image/MCY/3937156 ")</f>
        <v xml:space="preserve">http://slimages.macys.com/is/image/MCY/3937156 </v>
      </c>
    </row>
    <row r="124" spans="1:13" ht="15.2" customHeight="1" x14ac:dyDescent="0.2">
      <c r="A124" s="6" t="s">
        <v>3953</v>
      </c>
      <c r="B124" s="7" t="s">
        <v>3954</v>
      </c>
      <c r="C124" s="8">
        <v>1</v>
      </c>
      <c r="D124" s="9">
        <v>8.5</v>
      </c>
      <c r="E124" s="9">
        <v>8.5</v>
      </c>
      <c r="F124" s="10">
        <v>22.99</v>
      </c>
      <c r="G124" s="9">
        <v>22.99</v>
      </c>
      <c r="H124" s="8" t="s">
        <v>3955</v>
      </c>
      <c r="I124" s="7" t="s">
        <v>3234</v>
      </c>
      <c r="J124" s="11" t="s">
        <v>3202</v>
      </c>
      <c r="K124" s="7" t="s">
        <v>3326</v>
      </c>
      <c r="L124" s="7" t="s">
        <v>3409</v>
      </c>
      <c r="M124" s="12" t="str">
        <f>HYPERLINK("http://slimages.macys.com/is/image/MCY/3937156 ")</f>
        <v xml:space="preserve">http://slimages.macys.com/is/image/MCY/3937156 </v>
      </c>
    </row>
    <row r="125" spans="1:13" ht="15.2" customHeight="1" x14ac:dyDescent="0.2">
      <c r="A125" s="6" t="s">
        <v>360</v>
      </c>
      <c r="B125" s="7" t="s">
        <v>361</v>
      </c>
      <c r="C125" s="8">
        <v>1</v>
      </c>
      <c r="D125" s="9">
        <v>8.15</v>
      </c>
      <c r="E125" s="9">
        <v>8.15</v>
      </c>
      <c r="F125" s="10">
        <v>16.989999999999998</v>
      </c>
      <c r="G125" s="9">
        <v>16.989999999999998</v>
      </c>
      <c r="H125" s="8">
        <v>60433928</v>
      </c>
      <c r="I125" s="7" t="s">
        <v>3421</v>
      </c>
      <c r="J125" s="11" t="s">
        <v>3186</v>
      </c>
      <c r="K125" s="7" t="s">
        <v>3334</v>
      </c>
      <c r="L125" s="7" t="s">
        <v>3368</v>
      </c>
      <c r="M125" s="12" t="str">
        <f>HYPERLINK("http://slimages.macys.com/is/image/MCY/3623246 ")</f>
        <v xml:space="preserve">http://slimages.macys.com/is/image/MCY/3623246 </v>
      </c>
    </row>
    <row r="126" spans="1:13" ht="15.2" customHeight="1" x14ac:dyDescent="0.2">
      <c r="A126" s="6" t="s">
        <v>362</v>
      </c>
      <c r="B126" s="7" t="s">
        <v>363</v>
      </c>
      <c r="C126" s="8">
        <v>1</v>
      </c>
      <c r="D126" s="9">
        <v>8.1</v>
      </c>
      <c r="E126" s="9">
        <v>8.1</v>
      </c>
      <c r="F126" s="10">
        <v>19.989999999999998</v>
      </c>
      <c r="G126" s="9">
        <v>19.989999999999998</v>
      </c>
      <c r="H126" s="8" t="s">
        <v>364</v>
      </c>
      <c r="I126" s="7" t="s">
        <v>3400</v>
      </c>
      <c r="J126" s="11" t="s">
        <v>3231</v>
      </c>
      <c r="K126" s="7" t="s">
        <v>3323</v>
      </c>
      <c r="L126" s="7" t="s">
        <v>3407</v>
      </c>
      <c r="M126" s="12" t="str">
        <f>HYPERLINK("http://slimages.macys.com/is/image/MCY/3947130 ")</f>
        <v xml:space="preserve">http://slimages.macys.com/is/image/MCY/3947130 </v>
      </c>
    </row>
    <row r="127" spans="1:13" ht="15.2" customHeight="1" x14ac:dyDescent="0.2">
      <c r="A127" s="6" t="s">
        <v>365</v>
      </c>
      <c r="B127" s="7" t="s">
        <v>366</v>
      </c>
      <c r="C127" s="8">
        <v>1</v>
      </c>
      <c r="D127" s="9">
        <v>8.1</v>
      </c>
      <c r="E127" s="9">
        <v>8.1</v>
      </c>
      <c r="F127" s="10">
        <v>19.989999999999998</v>
      </c>
      <c r="G127" s="9">
        <v>19.989999999999998</v>
      </c>
      <c r="H127" s="8">
        <v>60449400</v>
      </c>
      <c r="I127" s="7" t="s">
        <v>3214</v>
      </c>
      <c r="J127" s="11" t="s">
        <v>3231</v>
      </c>
      <c r="K127" s="7" t="s">
        <v>3334</v>
      </c>
      <c r="L127" s="7" t="s">
        <v>3368</v>
      </c>
      <c r="M127" s="12" t="str">
        <f>HYPERLINK("http://slimages.macys.com/is/image/MCY/3940667 ")</f>
        <v xml:space="preserve">http://slimages.macys.com/is/image/MCY/3940667 </v>
      </c>
    </row>
    <row r="128" spans="1:13" ht="15.2" customHeight="1" x14ac:dyDescent="0.2">
      <c r="A128" s="6" t="s">
        <v>1716</v>
      </c>
      <c r="B128" s="7" t="s">
        <v>1717</v>
      </c>
      <c r="C128" s="8">
        <v>1</v>
      </c>
      <c r="D128" s="9">
        <v>8.1</v>
      </c>
      <c r="E128" s="9">
        <v>8.1</v>
      </c>
      <c r="F128" s="10">
        <v>22.5</v>
      </c>
      <c r="G128" s="9">
        <v>22.5</v>
      </c>
      <c r="H128" s="8" t="s">
        <v>4294</v>
      </c>
      <c r="I128" s="7" t="s">
        <v>3185</v>
      </c>
      <c r="J128" s="11" t="s">
        <v>3242</v>
      </c>
      <c r="K128" s="7" t="s">
        <v>3232</v>
      </c>
      <c r="L128" s="7" t="s">
        <v>3431</v>
      </c>
      <c r="M128" s="12" t="str">
        <f>HYPERLINK("http://slimages.macys.com/is/image/MCY/3708566 ")</f>
        <v xml:space="preserve">http://slimages.macys.com/is/image/MCY/3708566 </v>
      </c>
    </row>
    <row r="129" spans="1:13" ht="15.2" customHeight="1" x14ac:dyDescent="0.2">
      <c r="A129" s="6" t="s">
        <v>2065</v>
      </c>
      <c r="B129" s="7" t="s">
        <v>2066</v>
      </c>
      <c r="C129" s="8">
        <v>1</v>
      </c>
      <c r="D129" s="9">
        <v>8.1</v>
      </c>
      <c r="E129" s="9">
        <v>8.1</v>
      </c>
      <c r="F129" s="10">
        <v>22.5</v>
      </c>
      <c r="G129" s="9">
        <v>22.5</v>
      </c>
      <c r="H129" s="8" t="s">
        <v>4294</v>
      </c>
      <c r="I129" s="7" t="s">
        <v>3185</v>
      </c>
      <c r="J129" s="11" t="s">
        <v>3220</v>
      </c>
      <c r="K129" s="7" t="s">
        <v>3232</v>
      </c>
      <c r="L129" s="7" t="s">
        <v>3431</v>
      </c>
      <c r="M129" s="12" t="str">
        <f>HYPERLINK("http://slimages.macys.com/is/image/MCY/3708566 ")</f>
        <v xml:space="preserve">http://slimages.macys.com/is/image/MCY/3708566 </v>
      </c>
    </row>
    <row r="130" spans="1:13" ht="15.2" customHeight="1" x14ac:dyDescent="0.2">
      <c r="A130" s="6" t="s">
        <v>4292</v>
      </c>
      <c r="B130" s="7" t="s">
        <v>4293</v>
      </c>
      <c r="C130" s="8">
        <v>1</v>
      </c>
      <c r="D130" s="9">
        <v>8.1</v>
      </c>
      <c r="E130" s="9">
        <v>8.1</v>
      </c>
      <c r="F130" s="10">
        <v>22.5</v>
      </c>
      <c r="G130" s="9">
        <v>22.5</v>
      </c>
      <c r="H130" s="8" t="s">
        <v>4294</v>
      </c>
      <c r="I130" s="7" t="s">
        <v>3185</v>
      </c>
      <c r="J130" s="11" t="s">
        <v>3186</v>
      </c>
      <c r="K130" s="7" t="s">
        <v>3232</v>
      </c>
      <c r="L130" s="7" t="s">
        <v>3431</v>
      </c>
      <c r="M130" s="12" t="str">
        <f>HYPERLINK("http://slimages.macys.com/is/image/MCY/3708566 ")</f>
        <v xml:space="preserve">http://slimages.macys.com/is/image/MCY/3708566 </v>
      </c>
    </row>
    <row r="131" spans="1:13" ht="15.2" customHeight="1" x14ac:dyDescent="0.2">
      <c r="A131" s="6" t="s">
        <v>367</v>
      </c>
      <c r="B131" s="7" t="s">
        <v>368</v>
      </c>
      <c r="C131" s="8">
        <v>1</v>
      </c>
      <c r="D131" s="9">
        <v>8.0299999999999994</v>
      </c>
      <c r="E131" s="9">
        <v>8.0299999999999994</v>
      </c>
      <c r="F131" s="10">
        <v>16.989999999999998</v>
      </c>
      <c r="G131" s="9">
        <v>16.989999999999998</v>
      </c>
      <c r="H131" s="8" t="s">
        <v>369</v>
      </c>
      <c r="I131" s="7" t="s">
        <v>3185</v>
      </c>
      <c r="J131" s="11"/>
      <c r="K131" s="7" t="s">
        <v>3232</v>
      </c>
      <c r="L131" s="7" t="s">
        <v>3431</v>
      </c>
      <c r="M131" s="12" t="str">
        <f>HYPERLINK("http://slimages.macys.com/is/image/MCY/1942631 ")</f>
        <v xml:space="preserve">http://slimages.macys.com/is/image/MCY/1942631 </v>
      </c>
    </row>
    <row r="132" spans="1:13" ht="15.2" customHeight="1" x14ac:dyDescent="0.2">
      <c r="A132" s="6" t="s">
        <v>370</v>
      </c>
      <c r="B132" s="7" t="s">
        <v>371</v>
      </c>
      <c r="C132" s="8">
        <v>1</v>
      </c>
      <c r="D132" s="9">
        <v>8</v>
      </c>
      <c r="E132" s="9">
        <v>8</v>
      </c>
      <c r="F132" s="10">
        <v>21.5</v>
      </c>
      <c r="G132" s="9">
        <v>21.5</v>
      </c>
      <c r="H132" s="8" t="s">
        <v>3426</v>
      </c>
      <c r="I132" s="7" t="s">
        <v>3185</v>
      </c>
      <c r="J132" s="11" t="s">
        <v>3231</v>
      </c>
      <c r="K132" s="7" t="s">
        <v>3241</v>
      </c>
      <c r="L132" s="7" t="s">
        <v>3427</v>
      </c>
      <c r="M132" s="12" t="str">
        <f>HYPERLINK("http://slimages.macys.com/is/image/MCY/3799214 ")</f>
        <v xml:space="preserve">http://slimages.macys.com/is/image/MCY/3799214 </v>
      </c>
    </row>
    <row r="133" spans="1:13" ht="15.2" customHeight="1" x14ac:dyDescent="0.2">
      <c r="A133" s="6" t="s">
        <v>3965</v>
      </c>
      <c r="B133" s="7" t="s">
        <v>3966</v>
      </c>
      <c r="C133" s="8">
        <v>2</v>
      </c>
      <c r="D133" s="9">
        <v>8</v>
      </c>
      <c r="E133" s="9">
        <v>16</v>
      </c>
      <c r="F133" s="10">
        <v>22.99</v>
      </c>
      <c r="G133" s="9">
        <v>45.98</v>
      </c>
      <c r="H133" s="8" t="s">
        <v>3967</v>
      </c>
      <c r="I133" s="7" t="s">
        <v>3185</v>
      </c>
      <c r="J133" s="11" t="s">
        <v>3202</v>
      </c>
      <c r="K133" s="7" t="s">
        <v>3326</v>
      </c>
      <c r="L133" s="7" t="s">
        <v>3409</v>
      </c>
      <c r="M133" s="12" t="str">
        <f>HYPERLINK("http://slimages.macys.com/is/image/MCY/3937194 ")</f>
        <v xml:space="preserve">http://slimages.macys.com/is/image/MCY/3937194 </v>
      </c>
    </row>
    <row r="134" spans="1:13" ht="15.2" customHeight="1" x14ac:dyDescent="0.2">
      <c r="A134" s="6" t="s">
        <v>372</v>
      </c>
      <c r="B134" s="7" t="s">
        <v>373</v>
      </c>
      <c r="C134" s="8">
        <v>1</v>
      </c>
      <c r="D134" s="9">
        <v>8</v>
      </c>
      <c r="E134" s="9">
        <v>8</v>
      </c>
      <c r="F134" s="10">
        <v>19.989999999999998</v>
      </c>
      <c r="G134" s="9">
        <v>19.989999999999998</v>
      </c>
      <c r="H134" s="8" t="s">
        <v>374</v>
      </c>
      <c r="I134" s="7" t="s">
        <v>3252</v>
      </c>
      <c r="J134" s="11" t="s">
        <v>3202</v>
      </c>
      <c r="K134" s="7" t="s">
        <v>3387</v>
      </c>
      <c r="L134" s="7" t="s">
        <v>3411</v>
      </c>
      <c r="M134" s="12" t="str">
        <f>HYPERLINK("http://slimages.macys.com/is/image/MCY/3233053 ")</f>
        <v xml:space="preserve">http://slimages.macys.com/is/image/MCY/3233053 </v>
      </c>
    </row>
    <row r="135" spans="1:13" ht="15.2" customHeight="1" x14ac:dyDescent="0.2">
      <c r="A135" s="6" t="s">
        <v>375</v>
      </c>
      <c r="B135" s="7" t="s">
        <v>376</v>
      </c>
      <c r="C135" s="8">
        <v>1</v>
      </c>
      <c r="D135" s="9">
        <v>8</v>
      </c>
      <c r="E135" s="9">
        <v>8</v>
      </c>
      <c r="F135" s="10">
        <v>19.989999999999998</v>
      </c>
      <c r="G135" s="9">
        <v>19.989999999999998</v>
      </c>
      <c r="H135" s="8" t="s">
        <v>2807</v>
      </c>
      <c r="I135" s="7" t="s">
        <v>3321</v>
      </c>
      <c r="J135" s="11" t="s">
        <v>3231</v>
      </c>
      <c r="K135" s="7" t="s">
        <v>3387</v>
      </c>
      <c r="L135" s="7" t="s">
        <v>3425</v>
      </c>
      <c r="M135" s="12" t="str">
        <f>HYPERLINK("http://slimages.macys.com/is/image/MCY/3799636 ")</f>
        <v xml:space="preserve">http://slimages.macys.com/is/image/MCY/3799636 </v>
      </c>
    </row>
    <row r="136" spans="1:13" ht="15.2" customHeight="1" x14ac:dyDescent="0.2">
      <c r="A136" s="6" t="s">
        <v>377</v>
      </c>
      <c r="B136" s="7" t="s">
        <v>378</v>
      </c>
      <c r="C136" s="8">
        <v>1</v>
      </c>
      <c r="D136" s="9">
        <v>8</v>
      </c>
      <c r="E136" s="9">
        <v>8</v>
      </c>
      <c r="F136" s="10">
        <v>19.989999999999998</v>
      </c>
      <c r="G136" s="9">
        <v>19.989999999999998</v>
      </c>
      <c r="H136" s="8" t="s">
        <v>3947</v>
      </c>
      <c r="I136" s="7" t="s">
        <v>3203</v>
      </c>
      <c r="J136" s="11" t="s">
        <v>3220</v>
      </c>
      <c r="K136" s="7" t="s">
        <v>3343</v>
      </c>
      <c r="L136" s="7" t="s">
        <v>3384</v>
      </c>
      <c r="M136" s="12" t="str">
        <f>HYPERLINK("http://slimages.macys.com/is/image/MCY/3814584 ")</f>
        <v xml:space="preserve">http://slimages.macys.com/is/image/MCY/3814584 </v>
      </c>
    </row>
    <row r="137" spans="1:13" ht="15.2" customHeight="1" x14ac:dyDescent="0.2">
      <c r="A137" s="6" t="s">
        <v>3968</v>
      </c>
      <c r="B137" s="7" t="s">
        <v>3969</v>
      </c>
      <c r="C137" s="8">
        <v>2</v>
      </c>
      <c r="D137" s="9">
        <v>8</v>
      </c>
      <c r="E137" s="9">
        <v>16</v>
      </c>
      <c r="F137" s="10">
        <v>22.99</v>
      </c>
      <c r="G137" s="9">
        <v>45.98</v>
      </c>
      <c r="H137" s="8" t="s">
        <v>3967</v>
      </c>
      <c r="I137" s="7" t="s">
        <v>3185</v>
      </c>
      <c r="J137" s="11" t="s">
        <v>3186</v>
      </c>
      <c r="K137" s="7" t="s">
        <v>3326</v>
      </c>
      <c r="L137" s="7" t="s">
        <v>3409</v>
      </c>
      <c r="M137" s="12" t="str">
        <f>HYPERLINK("http://slimages.macys.com/is/image/MCY/3937194 ")</f>
        <v xml:space="preserve">http://slimages.macys.com/is/image/MCY/3937194 </v>
      </c>
    </row>
    <row r="138" spans="1:13" ht="15.2" customHeight="1" x14ac:dyDescent="0.2">
      <c r="A138" s="6" t="s">
        <v>379</v>
      </c>
      <c r="B138" s="7" t="s">
        <v>380</v>
      </c>
      <c r="C138" s="8">
        <v>1</v>
      </c>
      <c r="D138" s="9">
        <v>8</v>
      </c>
      <c r="E138" s="9">
        <v>8</v>
      </c>
      <c r="F138" s="10">
        <v>19.989999999999998</v>
      </c>
      <c r="G138" s="9">
        <v>19.989999999999998</v>
      </c>
      <c r="H138" s="8" t="s">
        <v>3726</v>
      </c>
      <c r="I138" s="7" t="s">
        <v>3182</v>
      </c>
      <c r="J138" s="11" t="s">
        <v>3220</v>
      </c>
      <c r="K138" s="7" t="s">
        <v>3323</v>
      </c>
      <c r="L138" s="7" t="s">
        <v>3371</v>
      </c>
      <c r="M138" s="12" t="str">
        <f>HYPERLINK("http://slimages.macys.com/is/image/MCY/3910796 ")</f>
        <v xml:space="preserve">http://slimages.macys.com/is/image/MCY/3910796 </v>
      </c>
    </row>
    <row r="139" spans="1:13" ht="15.2" customHeight="1" x14ac:dyDescent="0.2">
      <c r="A139" s="6" t="s">
        <v>2411</v>
      </c>
      <c r="B139" s="7" t="s">
        <v>2412</v>
      </c>
      <c r="C139" s="8">
        <v>1</v>
      </c>
      <c r="D139" s="9">
        <v>7.85</v>
      </c>
      <c r="E139" s="9">
        <v>7.85</v>
      </c>
      <c r="F139" s="10">
        <v>24.99</v>
      </c>
      <c r="G139" s="9">
        <v>24.99</v>
      </c>
      <c r="H139" s="8" t="s">
        <v>3430</v>
      </c>
      <c r="I139" s="7" t="s">
        <v>3207</v>
      </c>
      <c r="J139" s="11" t="s">
        <v>3202</v>
      </c>
      <c r="K139" s="7" t="s">
        <v>3343</v>
      </c>
      <c r="L139" s="7" t="s">
        <v>3371</v>
      </c>
      <c r="M139" s="12" t="str">
        <f>HYPERLINK("http://slimages.macys.com/is/image/MCY/3853703 ")</f>
        <v xml:space="preserve">http://slimages.macys.com/is/image/MCY/3853703 </v>
      </c>
    </row>
    <row r="140" spans="1:13" ht="15.2" customHeight="1" x14ac:dyDescent="0.2">
      <c r="A140" s="6" t="s">
        <v>381</v>
      </c>
      <c r="B140" s="7" t="s">
        <v>382</v>
      </c>
      <c r="C140" s="8">
        <v>1</v>
      </c>
      <c r="D140" s="9">
        <v>7.85</v>
      </c>
      <c r="E140" s="9">
        <v>7.85</v>
      </c>
      <c r="F140" s="10">
        <v>24.99</v>
      </c>
      <c r="G140" s="9">
        <v>24.99</v>
      </c>
      <c r="H140" s="8" t="s">
        <v>3430</v>
      </c>
      <c r="I140" s="7" t="s">
        <v>3185</v>
      </c>
      <c r="J140" s="11" t="s">
        <v>3202</v>
      </c>
      <c r="K140" s="7" t="s">
        <v>3343</v>
      </c>
      <c r="L140" s="7" t="s">
        <v>3371</v>
      </c>
      <c r="M140" s="12" t="str">
        <f>HYPERLINK("http://slimages.macys.com/is/image/MCY/3853703 ")</f>
        <v xml:space="preserve">http://slimages.macys.com/is/image/MCY/3853703 </v>
      </c>
    </row>
    <row r="141" spans="1:13" ht="15.2" customHeight="1" x14ac:dyDescent="0.2">
      <c r="A141" s="6" t="s">
        <v>4300</v>
      </c>
      <c r="B141" s="7" t="s">
        <v>4301</v>
      </c>
      <c r="C141" s="8">
        <v>1</v>
      </c>
      <c r="D141" s="9">
        <v>7.82</v>
      </c>
      <c r="E141" s="9">
        <v>7.82</v>
      </c>
      <c r="F141" s="10">
        <v>16.989999999999998</v>
      </c>
      <c r="G141" s="9">
        <v>16.989999999999998</v>
      </c>
      <c r="H141" s="8">
        <v>60450149</v>
      </c>
      <c r="I141" s="7" t="s">
        <v>3185</v>
      </c>
      <c r="J141" s="11" t="s">
        <v>3186</v>
      </c>
      <c r="K141" s="7" t="s">
        <v>3334</v>
      </c>
      <c r="L141" s="7" t="s">
        <v>3368</v>
      </c>
      <c r="M141" s="12" t="str">
        <f>HYPERLINK("http://slimages.macys.com/is/image/MCY/3955026 ")</f>
        <v xml:space="preserve">http://slimages.macys.com/is/image/MCY/3955026 </v>
      </c>
    </row>
    <row r="142" spans="1:13" ht="15.2" customHeight="1" x14ac:dyDescent="0.2">
      <c r="A142" s="6" t="s">
        <v>4312</v>
      </c>
      <c r="B142" s="7" t="s">
        <v>4313</v>
      </c>
      <c r="C142" s="8">
        <v>1</v>
      </c>
      <c r="D142" s="9">
        <v>7.63</v>
      </c>
      <c r="E142" s="9">
        <v>7.63</v>
      </c>
      <c r="F142" s="10">
        <v>22.5</v>
      </c>
      <c r="G142" s="9">
        <v>22.5</v>
      </c>
      <c r="H142" s="8" t="s">
        <v>4304</v>
      </c>
      <c r="I142" s="7" t="s">
        <v>3185</v>
      </c>
      <c r="J142" s="11" t="s">
        <v>3231</v>
      </c>
      <c r="K142" s="7" t="s">
        <v>3232</v>
      </c>
      <c r="L142" s="7" t="s">
        <v>3431</v>
      </c>
      <c r="M142" s="12" t="str">
        <f>HYPERLINK("http://slimages.macys.com/is/image/MCY/2217104 ")</f>
        <v xml:space="preserve">http://slimages.macys.com/is/image/MCY/2217104 </v>
      </c>
    </row>
    <row r="143" spans="1:13" ht="15.2" customHeight="1" x14ac:dyDescent="0.2">
      <c r="A143" s="6" t="s">
        <v>1720</v>
      </c>
      <c r="B143" s="7" t="s">
        <v>1721</v>
      </c>
      <c r="C143" s="8">
        <v>1</v>
      </c>
      <c r="D143" s="9">
        <v>7.5</v>
      </c>
      <c r="E143" s="9">
        <v>7.5</v>
      </c>
      <c r="F143" s="10">
        <v>19.989999999999998</v>
      </c>
      <c r="G143" s="9">
        <v>19.989999999999998</v>
      </c>
      <c r="H143" s="8" t="s">
        <v>2818</v>
      </c>
      <c r="I143" s="7" t="s">
        <v>3234</v>
      </c>
      <c r="J143" s="11" t="s">
        <v>3186</v>
      </c>
      <c r="K143" s="7" t="s">
        <v>3323</v>
      </c>
      <c r="L143" s="7" t="s">
        <v>3418</v>
      </c>
      <c r="M143" s="12" t="str">
        <f>HYPERLINK("http://slimages.macys.com/is/image/MCY/3660171 ")</f>
        <v xml:space="preserve">http://slimages.macys.com/is/image/MCY/3660171 </v>
      </c>
    </row>
    <row r="144" spans="1:13" ht="15.2" customHeight="1" x14ac:dyDescent="0.2">
      <c r="A144" s="6" t="s">
        <v>1997</v>
      </c>
      <c r="B144" s="7" t="s">
        <v>1998</v>
      </c>
      <c r="C144" s="8">
        <v>1</v>
      </c>
      <c r="D144" s="9">
        <v>7.5</v>
      </c>
      <c r="E144" s="9">
        <v>7.5</v>
      </c>
      <c r="F144" s="10">
        <v>19.989999999999998</v>
      </c>
      <c r="G144" s="9">
        <v>19.989999999999998</v>
      </c>
      <c r="H144" s="8" t="s">
        <v>2818</v>
      </c>
      <c r="I144" s="7" t="s">
        <v>3234</v>
      </c>
      <c r="J144" s="11" t="s">
        <v>3231</v>
      </c>
      <c r="K144" s="7" t="s">
        <v>3323</v>
      </c>
      <c r="L144" s="7" t="s">
        <v>3418</v>
      </c>
      <c r="M144" s="12" t="str">
        <f>HYPERLINK("http://slimages.macys.com/is/image/MCY/3660171 ")</f>
        <v xml:space="preserve">http://slimages.macys.com/is/image/MCY/3660171 </v>
      </c>
    </row>
    <row r="145" spans="1:13" ht="15.2" customHeight="1" x14ac:dyDescent="0.2">
      <c r="A145" s="6" t="s">
        <v>383</v>
      </c>
      <c r="B145" s="7" t="s">
        <v>384</v>
      </c>
      <c r="C145" s="8">
        <v>1</v>
      </c>
      <c r="D145" s="9">
        <v>7.5</v>
      </c>
      <c r="E145" s="9">
        <v>7.5</v>
      </c>
      <c r="F145" s="10">
        <v>18.989999999999998</v>
      </c>
      <c r="G145" s="9">
        <v>18.989999999999998</v>
      </c>
      <c r="H145" s="8" t="s">
        <v>385</v>
      </c>
      <c r="I145" s="7" t="s">
        <v>3207</v>
      </c>
      <c r="J145" s="11" t="s">
        <v>3242</v>
      </c>
      <c r="K145" s="7" t="s">
        <v>3241</v>
      </c>
      <c r="L145" s="7" t="s">
        <v>3371</v>
      </c>
      <c r="M145" s="12" t="str">
        <f>HYPERLINK("http://slimages.macys.com/is/image/MCY/3664352 ")</f>
        <v xml:space="preserve">http://slimages.macys.com/is/image/MCY/3664352 </v>
      </c>
    </row>
    <row r="146" spans="1:13" ht="15.2" customHeight="1" x14ac:dyDescent="0.2">
      <c r="A146" s="6" t="s">
        <v>386</v>
      </c>
      <c r="B146" s="7" t="s">
        <v>387</v>
      </c>
      <c r="C146" s="8">
        <v>1</v>
      </c>
      <c r="D146" s="9">
        <v>7.5</v>
      </c>
      <c r="E146" s="9">
        <v>7.5</v>
      </c>
      <c r="F146" s="10">
        <v>19.989999999999998</v>
      </c>
      <c r="G146" s="9">
        <v>19.989999999999998</v>
      </c>
      <c r="H146" s="8" t="s">
        <v>3974</v>
      </c>
      <c r="I146" s="7" t="s">
        <v>3252</v>
      </c>
      <c r="J146" s="11" t="s">
        <v>3242</v>
      </c>
      <c r="K146" s="7" t="s">
        <v>3323</v>
      </c>
      <c r="L146" s="7" t="s">
        <v>3418</v>
      </c>
      <c r="M146" s="12" t="str">
        <f>HYPERLINK("http://slimages.macys.com/is/image/MCY/3685484 ")</f>
        <v xml:space="preserve">http://slimages.macys.com/is/image/MCY/3685484 </v>
      </c>
    </row>
    <row r="147" spans="1:13" ht="15.2" customHeight="1" x14ac:dyDescent="0.2">
      <c r="A147" s="6" t="s">
        <v>388</v>
      </c>
      <c r="B147" s="7" t="s">
        <v>389</v>
      </c>
      <c r="C147" s="8">
        <v>1</v>
      </c>
      <c r="D147" s="9">
        <v>7.5</v>
      </c>
      <c r="E147" s="9">
        <v>7.5</v>
      </c>
      <c r="F147" s="10">
        <v>19.989999999999998</v>
      </c>
      <c r="G147" s="9">
        <v>19.989999999999998</v>
      </c>
      <c r="H147" s="8" t="s">
        <v>390</v>
      </c>
      <c r="I147" s="7" t="s">
        <v>3216</v>
      </c>
      <c r="J147" s="11" t="s">
        <v>3231</v>
      </c>
      <c r="K147" s="7" t="s">
        <v>3323</v>
      </c>
      <c r="L147" s="7" t="s">
        <v>3418</v>
      </c>
      <c r="M147" s="12" t="str">
        <f>HYPERLINK("http://slimages.macys.com/is/image/MCY/3705540 ")</f>
        <v xml:space="preserve">http://slimages.macys.com/is/image/MCY/3705540 </v>
      </c>
    </row>
    <row r="148" spans="1:13" ht="15.2" customHeight="1" x14ac:dyDescent="0.2">
      <c r="A148" s="6" t="s">
        <v>1617</v>
      </c>
      <c r="B148" s="7" t="s">
        <v>1618</v>
      </c>
      <c r="C148" s="8">
        <v>1</v>
      </c>
      <c r="D148" s="9">
        <v>7.5</v>
      </c>
      <c r="E148" s="9">
        <v>7.5</v>
      </c>
      <c r="F148" s="10">
        <v>19.989999999999998</v>
      </c>
      <c r="G148" s="9">
        <v>19.989999999999998</v>
      </c>
      <c r="H148" s="8" t="s">
        <v>2818</v>
      </c>
      <c r="I148" s="7" t="s">
        <v>3234</v>
      </c>
      <c r="J148" s="11" t="s">
        <v>3242</v>
      </c>
      <c r="K148" s="7" t="s">
        <v>3323</v>
      </c>
      <c r="L148" s="7" t="s">
        <v>3418</v>
      </c>
      <c r="M148" s="12" t="str">
        <f>HYPERLINK("http://slimages.macys.com/is/image/MCY/3660171 ")</f>
        <v xml:space="preserve">http://slimages.macys.com/is/image/MCY/3660171 </v>
      </c>
    </row>
    <row r="149" spans="1:13" ht="15.2" customHeight="1" x14ac:dyDescent="0.2">
      <c r="A149" s="6" t="s">
        <v>391</v>
      </c>
      <c r="B149" s="7" t="s">
        <v>392</v>
      </c>
      <c r="C149" s="8">
        <v>1</v>
      </c>
      <c r="D149" s="9">
        <v>7.25</v>
      </c>
      <c r="E149" s="9">
        <v>7.25</v>
      </c>
      <c r="F149" s="10">
        <v>12.99</v>
      </c>
      <c r="G149" s="9">
        <v>12.99</v>
      </c>
      <c r="H149" s="8" t="s">
        <v>393</v>
      </c>
      <c r="I149" s="7" t="s">
        <v>3252</v>
      </c>
      <c r="J149" s="11" t="s">
        <v>3220</v>
      </c>
      <c r="K149" s="7" t="s">
        <v>3387</v>
      </c>
      <c r="L149" s="7" t="s">
        <v>3388</v>
      </c>
      <c r="M149" s="12" t="str">
        <f>HYPERLINK("http://slimages.macys.com/is/image/MCY/3774190 ")</f>
        <v xml:space="preserve">http://slimages.macys.com/is/image/MCY/3774190 </v>
      </c>
    </row>
    <row r="150" spans="1:13" ht="15.2" customHeight="1" x14ac:dyDescent="0.2">
      <c r="A150" s="6" t="s">
        <v>394</v>
      </c>
      <c r="B150" s="7" t="s">
        <v>395</v>
      </c>
      <c r="C150" s="8">
        <v>2</v>
      </c>
      <c r="D150" s="9">
        <v>7.25</v>
      </c>
      <c r="E150" s="9">
        <v>14.5</v>
      </c>
      <c r="F150" s="10">
        <v>12.99</v>
      </c>
      <c r="G150" s="9">
        <v>25.98</v>
      </c>
      <c r="H150" s="8" t="s">
        <v>393</v>
      </c>
      <c r="I150" s="7" t="s">
        <v>3252</v>
      </c>
      <c r="J150" s="11" t="s">
        <v>3186</v>
      </c>
      <c r="K150" s="7" t="s">
        <v>3387</v>
      </c>
      <c r="L150" s="7" t="s">
        <v>3388</v>
      </c>
      <c r="M150" s="12" t="str">
        <f>HYPERLINK("http://slimages.macys.com/is/image/MCY/3774190 ")</f>
        <v xml:space="preserve">http://slimages.macys.com/is/image/MCY/3774190 </v>
      </c>
    </row>
    <row r="151" spans="1:13" ht="15.2" customHeight="1" x14ac:dyDescent="0.2">
      <c r="A151" s="6" t="s">
        <v>396</v>
      </c>
      <c r="B151" s="7" t="s">
        <v>397</v>
      </c>
      <c r="C151" s="8">
        <v>2</v>
      </c>
      <c r="D151" s="9">
        <v>7</v>
      </c>
      <c r="E151" s="9">
        <v>14</v>
      </c>
      <c r="F151" s="10">
        <v>19.989999999999998</v>
      </c>
      <c r="G151" s="9">
        <v>39.979999999999997</v>
      </c>
      <c r="H151" s="8" t="s">
        <v>4125</v>
      </c>
      <c r="I151" s="7" t="s">
        <v>3386</v>
      </c>
      <c r="J151" s="11" t="s">
        <v>3220</v>
      </c>
      <c r="K151" s="7" t="s">
        <v>3387</v>
      </c>
      <c r="L151" s="7" t="s">
        <v>3429</v>
      </c>
      <c r="M151" s="12" t="str">
        <f>HYPERLINK("http://slimages.macys.com/is/image/MCY/3773685 ")</f>
        <v xml:space="preserve">http://slimages.macys.com/is/image/MCY/3773685 </v>
      </c>
    </row>
    <row r="152" spans="1:13" ht="15.2" customHeight="1" x14ac:dyDescent="0.2">
      <c r="A152" s="6" t="s">
        <v>398</v>
      </c>
      <c r="B152" s="7" t="s">
        <v>399</v>
      </c>
      <c r="C152" s="8">
        <v>1</v>
      </c>
      <c r="D152" s="9">
        <v>7</v>
      </c>
      <c r="E152" s="9">
        <v>7</v>
      </c>
      <c r="F152" s="10">
        <v>19.989999999999998</v>
      </c>
      <c r="G152" s="9">
        <v>19.989999999999998</v>
      </c>
      <c r="H152" s="8" t="s">
        <v>400</v>
      </c>
      <c r="I152" s="7" t="s">
        <v>3252</v>
      </c>
      <c r="J152" s="11" t="s">
        <v>3202</v>
      </c>
      <c r="K152" s="7" t="s">
        <v>3323</v>
      </c>
      <c r="L152" s="7" t="s">
        <v>3369</v>
      </c>
      <c r="M152" s="12" t="str">
        <f>HYPERLINK("http://slimages.macys.com/is/image/MCY/3422358 ")</f>
        <v xml:space="preserve">http://slimages.macys.com/is/image/MCY/3422358 </v>
      </c>
    </row>
    <row r="153" spans="1:13" ht="15.2" customHeight="1" x14ac:dyDescent="0.2">
      <c r="A153" s="6" t="s">
        <v>401</v>
      </c>
      <c r="B153" s="7" t="s">
        <v>402</v>
      </c>
      <c r="C153" s="8">
        <v>1</v>
      </c>
      <c r="D153" s="9">
        <v>7</v>
      </c>
      <c r="E153" s="9">
        <v>7</v>
      </c>
      <c r="F153" s="10">
        <v>16.989999999999998</v>
      </c>
      <c r="G153" s="9">
        <v>16.989999999999998</v>
      </c>
      <c r="H153" s="8" t="s">
        <v>403</v>
      </c>
      <c r="I153" s="7" t="s">
        <v>3210</v>
      </c>
      <c r="J153" s="11" t="s">
        <v>3202</v>
      </c>
      <c r="K153" s="7" t="s">
        <v>3323</v>
      </c>
      <c r="L153" s="7" t="s">
        <v>3418</v>
      </c>
      <c r="M153" s="12" t="str">
        <f>HYPERLINK("http://slimages.macys.com/is/image/MCY/2664354 ")</f>
        <v xml:space="preserve">http://slimages.macys.com/is/image/MCY/2664354 </v>
      </c>
    </row>
    <row r="154" spans="1:13" ht="15.2" customHeight="1" x14ac:dyDescent="0.2">
      <c r="A154" s="6" t="s">
        <v>404</v>
      </c>
      <c r="B154" s="7" t="s">
        <v>405</v>
      </c>
      <c r="C154" s="8">
        <v>1</v>
      </c>
      <c r="D154" s="9">
        <v>7</v>
      </c>
      <c r="E154" s="9">
        <v>7</v>
      </c>
      <c r="F154" s="10">
        <v>19.989999999999998</v>
      </c>
      <c r="G154" s="9">
        <v>19.989999999999998</v>
      </c>
      <c r="H154" s="8" t="s">
        <v>406</v>
      </c>
      <c r="I154" s="7" t="s">
        <v>3219</v>
      </c>
      <c r="J154" s="11" t="s">
        <v>3202</v>
      </c>
      <c r="K154" s="7" t="s">
        <v>3323</v>
      </c>
      <c r="L154" s="7" t="s">
        <v>3371</v>
      </c>
      <c r="M154" s="12" t="str">
        <f>HYPERLINK("http://slimages.macys.com/is/image/MCY/3787593 ")</f>
        <v xml:space="preserve">http://slimages.macys.com/is/image/MCY/3787593 </v>
      </c>
    </row>
    <row r="155" spans="1:13" ht="15.2" customHeight="1" x14ac:dyDescent="0.2">
      <c r="A155" s="6" t="s">
        <v>3979</v>
      </c>
      <c r="B155" s="7" t="s">
        <v>3980</v>
      </c>
      <c r="C155" s="8">
        <v>1</v>
      </c>
      <c r="D155" s="9">
        <v>6.85</v>
      </c>
      <c r="E155" s="9">
        <v>6.85</v>
      </c>
      <c r="F155" s="10">
        <v>15.99</v>
      </c>
      <c r="G155" s="9">
        <v>15.99</v>
      </c>
      <c r="H155" s="8" t="s">
        <v>3981</v>
      </c>
      <c r="I155" s="7" t="s">
        <v>3185</v>
      </c>
      <c r="J155" s="11" t="s">
        <v>3220</v>
      </c>
      <c r="K155" s="7" t="s">
        <v>3300</v>
      </c>
      <c r="L155" s="7" t="s">
        <v>3301</v>
      </c>
      <c r="M155" s="12" t="str">
        <f>HYPERLINK("http://slimages.macys.com/is/image/MCY/3677454 ")</f>
        <v xml:space="preserve">http://slimages.macys.com/is/image/MCY/3677454 </v>
      </c>
    </row>
    <row r="156" spans="1:13" ht="15.2" customHeight="1" x14ac:dyDescent="0.2">
      <c r="A156" s="6" t="s">
        <v>407</v>
      </c>
      <c r="B156" s="7" t="s">
        <v>408</v>
      </c>
      <c r="C156" s="8">
        <v>1</v>
      </c>
      <c r="D156" s="9">
        <v>6.85</v>
      </c>
      <c r="E156" s="9">
        <v>6.85</v>
      </c>
      <c r="F156" s="10">
        <v>19.989999999999998</v>
      </c>
      <c r="G156" s="9">
        <v>19.989999999999998</v>
      </c>
      <c r="H156" s="8" t="s">
        <v>2417</v>
      </c>
      <c r="I156" s="7" t="s">
        <v>3252</v>
      </c>
      <c r="J156" s="11" t="s">
        <v>3202</v>
      </c>
      <c r="K156" s="7" t="s">
        <v>3323</v>
      </c>
      <c r="L156" s="7" t="s">
        <v>3356</v>
      </c>
      <c r="M156" s="12" t="str">
        <f>HYPERLINK("http://slimages.macys.com/is/image/MCY/3602847 ")</f>
        <v xml:space="preserve">http://slimages.macys.com/is/image/MCY/3602847 </v>
      </c>
    </row>
    <row r="157" spans="1:13" ht="15.2" customHeight="1" x14ac:dyDescent="0.2">
      <c r="A157" s="6" t="s">
        <v>409</v>
      </c>
      <c r="B157" s="7" t="s">
        <v>410</v>
      </c>
      <c r="C157" s="8">
        <v>1</v>
      </c>
      <c r="D157" s="9">
        <v>6.75</v>
      </c>
      <c r="E157" s="9">
        <v>6.75</v>
      </c>
      <c r="F157" s="10">
        <v>16.989999999999998</v>
      </c>
      <c r="G157" s="9">
        <v>16.989999999999998</v>
      </c>
      <c r="H157" s="8" t="s">
        <v>411</v>
      </c>
      <c r="I157" s="7" t="s">
        <v>3196</v>
      </c>
      <c r="J157" s="11" t="s">
        <v>3186</v>
      </c>
      <c r="K157" s="7" t="s">
        <v>3323</v>
      </c>
      <c r="L157" s="7" t="s">
        <v>3356</v>
      </c>
      <c r="M157" s="12" t="str">
        <f>HYPERLINK("http://slimages.macys.com/is/image/MCY/3593651 ")</f>
        <v xml:space="preserve">http://slimages.macys.com/is/image/MCY/3593651 </v>
      </c>
    </row>
    <row r="158" spans="1:13" ht="15.2" customHeight="1" x14ac:dyDescent="0.2">
      <c r="A158" s="6" t="s">
        <v>412</v>
      </c>
      <c r="B158" s="7" t="s">
        <v>1563</v>
      </c>
      <c r="C158" s="8">
        <v>1</v>
      </c>
      <c r="D158" s="9">
        <v>6.72</v>
      </c>
      <c r="E158" s="9">
        <v>6.72</v>
      </c>
      <c r="F158" s="10">
        <v>15.99</v>
      </c>
      <c r="G158" s="9">
        <v>15.99</v>
      </c>
      <c r="H158" s="8" t="s">
        <v>413</v>
      </c>
      <c r="I158" s="7" t="s">
        <v>3252</v>
      </c>
      <c r="J158" s="11" t="s">
        <v>3242</v>
      </c>
      <c r="K158" s="7" t="s">
        <v>3300</v>
      </c>
      <c r="L158" s="7" t="s">
        <v>3301</v>
      </c>
      <c r="M158" s="12" t="str">
        <f>HYPERLINK("http://slimages.macys.com/is/image/MCY/3677454 ")</f>
        <v xml:space="preserve">http://slimages.macys.com/is/image/MCY/3677454 </v>
      </c>
    </row>
    <row r="159" spans="1:13" ht="15.2" customHeight="1" x14ac:dyDescent="0.2">
      <c r="A159" s="6" t="s">
        <v>414</v>
      </c>
      <c r="B159" s="7" t="s">
        <v>415</v>
      </c>
      <c r="C159" s="8">
        <v>1</v>
      </c>
      <c r="D159" s="9">
        <v>6.65</v>
      </c>
      <c r="E159" s="9">
        <v>6.65</v>
      </c>
      <c r="F159" s="10">
        <v>12.99</v>
      </c>
      <c r="G159" s="9">
        <v>12.99</v>
      </c>
      <c r="H159" s="8" t="s">
        <v>3982</v>
      </c>
      <c r="I159" s="7" t="s">
        <v>3252</v>
      </c>
      <c r="J159" s="11" t="s">
        <v>416</v>
      </c>
      <c r="K159" s="7" t="s">
        <v>3387</v>
      </c>
      <c r="L159" s="7" t="s">
        <v>3440</v>
      </c>
      <c r="M159" s="12" t="str">
        <f>HYPERLINK("http://slimages.macys.com/is/image/MCY/3738473 ")</f>
        <v xml:space="preserve">http://slimages.macys.com/is/image/MCY/3738473 </v>
      </c>
    </row>
    <row r="160" spans="1:13" ht="15.2" customHeight="1" x14ac:dyDescent="0.2">
      <c r="A160" s="6" t="s">
        <v>417</v>
      </c>
      <c r="B160" s="7" t="s">
        <v>418</v>
      </c>
      <c r="C160" s="8">
        <v>1</v>
      </c>
      <c r="D160" s="9">
        <v>6.5</v>
      </c>
      <c r="E160" s="9">
        <v>6.5</v>
      </c>
      <c r="F160" s="10">
        <v>15.99</v>
      </c>
      <c r="G160" s="9">
        <v>15.99</v>
      </c>
      <c r="H160" s="8" t="s">
        <v>419</v>
      </c>
      <c r="I160" s="7" t="s">
        <v>3216</v>
      </c>
      <c r="J160" s="11" t="s">
        <v>3220</v>
      </c>
      <c r="K160" s="7" t="s">
        <v>3241</v>
      </c>
      <c r="L160" s="7" t="s">
        <v>3500</v>
      </c>
      <c r="M160" s="12" t="str">
        <f>HYPERLINK("http://slimages.macys.com/is/image/MCY/3638318 ")</f>
        <v xml:space="preserve">http://slimages.macys.com/is/image/MCY/3638318 </v>
      </c>
    </row>
    <row r="161" spans="1:13" ht="15.2" customHeight="1" x14ac:dyDescent="0.2">
      <c r="A161" s="6" t="s">
        <v>420</v>
      </c>
      <c r="B161" s="7" t="s">
        <v>421</v>
      </c>
      <c r="C161" s="8">
        <v>1</v>
      </c>
      <c r="D161" s="9">
        <v>6.5</v>
      </c>
      <c r="E161" s="9">
        <v>6.5</v>
      </c>
      <c r="F161" s="10">
        <v>12.99</v>
      </c>
      <c r="G161" s="9">
        <v>12.99</v>
      </c>
      <c r="H161" s="8" t="s">
        <v>422</v>
      </c>
      <c r="I161" s="7" t="s">
        <v>3355</v>
      </c>
      <c r="J161" s="11" t="s">
        <v>3220</v>
      </c>
      <c r="K161" s="7" t="s">
        <v>3387</v>
      </c>
      <c r="L161" s="7" t="s">
        <v>3407</v>
      </c>
      <c r="M161" s="12" t="str">
        <f>HYPERLINK("http://slimages.macys.com/is/image/MCY/3755623 ")</f>
        <v xml:space="preserve">http://slimages.macys.com/is/image/MCY/3755623 </v>
      </c>
    </row>
    <row r="162" spans="1:13" ht="15.2" customHeight="1" x14ac:dyDescent="0.2">
      <c r="A162" s="6" t="s">
        <v>423</v>
      </c>
      <c r="B162" s="7" t="s">
        <v>424</v>
      </c>
      <c r="C162" s="8">
        <v>1</v>
      </c>
      <c r="D162" s="9">
        <v>6.4</v>
      </c>
      <c r="E162" s="9">
        <v>6.4</v>
      </c>
      <c r="F162" s="10">
        <v>13.99</v>
      </c>
      <c r="G162" s="9">
        <v>13.99</v>
      </c>
      <c r="H162" s="8" t="s">
        <v>3444</v>
      </c>
      <c r="I162" s="7" t="s">
        <v>3185</v>
      </c>
      <c r="J162" s="11" t="s">
        <v>3242</v>
      </c>
      <c r="K162" s="7" t="s">
        <v>3387</v>
      </c>
      <c r="L162" s="7" t="s">
        <v>3404</v>
      </c>
      <c r="M162" s="12" t="str">
        <f>HYPERLINK("http://slimages.macys.com/is/image/MCY/3623277 ")</f>
        <v xml:space="preserve">http://slimages.macys.com/is/image/MCY/3623277 </v>
      </c>
    </row>
    <row r="163" spans="1:13" ht="15.2" customHeight="1" x14ac:dyDescent="0.2">
      <c r="A163" s="6" t="s">
        <v>2424</v>
      </c>
      <c r="B163" s="7" t="s">
        <v>2425</v>
      </c>
      <c r="C163" s="8">
        <v>1</v>
      </c>
      <c r="D163" s="9">
        <v>6.3</v>
      </c>
      <c r="E163" s="9">
        <v>6.3</v>
      </c>
      <c r="F163" s="10">
        <v>14.99</v>
      </c>
      <c r="G163" s="9">
        <v>14.99</v>
      </c>
      <c r="H163" s="8" t="s">
        <v>2279</v>
      </c>
      <c r="I163" s="7" t="s">
        <v>3185</v>
      </c>
      <c r="J163" s="11" t="s">
        <v>3202</v>
      </c>
      <c r="K163" s="7" t="s">
        <v>3300</v>
      </c>
      <c r="L163" s="7" t="s">
        <v>3301</v>
      </c>
      <c r="M163" s="12" t="str">
        <f>HYPERLINK("http://slimages.macys.com/is/image/MCY/3876250 ")</f>
        <v xml:space="preserve">http://slimages.macys.com/is/image/MCY/3876250 </v>
      </c>
    </row>
    <row r="164" spans="1:13" ht="15.2" customHeight="1" x14ac:dyDescent="0.2">
      <c r="A164" s="6" t="s">
        <v>2273</v>
      </c>
      <c r="B164" s="7" t="s">
        <v>2274</v>
      </c>
      <c r="C164" s="8">
        <v>1</v>
      </c>
      <c r="D164" s="9">
        <v>6.3</v>
      </c>
      <c r="E164" s="9">
        <v>6.3</v>
      </c>
      <c r="F164" s="10">
        <v>14.99</v>
      </c>
      <c r="G164" s="9">
        <v>14.99</v>
      </c>
      <c r="H164" s="8" t="s">
        <v>3987</v>
      </c>
      <c r="I164" s="7" t="s">
        <v>3988</v>
      </c>
      <c r="J164" s="11" t="s">
        <v>3202</v>
      </c>
      <c r="K164" s="7" t="s">
        <v>3300</v>
      </c>
      <c r="L164" s="7" t="s">
        <v>3301</v>
      </c>
      <c r="M164" s="12" t="str">
        <f>HYPERLINK("http://slimages.macys.com/is/image/MCY/3953479 ")</f>
        <v xml:space="preserve">http://slimages.macys.com/is/image/MCY/3953479 </v>
      </c>
    </row>
    <row r="165" spans="1:13" ht="15.2" customHeight="1" x14ac:dyDescent="0.2">
      <c r="A165" s="6" t="s">
        <v>3734</v>
      </c>
      <c r="B165" s="7" t="s">
        <v>3735</v>
      </c>
      <c r="C165" s="8">
        <v>1</v>
      </c>
      <c r="D165" s="9">
        <v>6.3</v>
      </c>
      <c r="E165" s="9">
        <v>6.3</v>
      </c>
      <c r="F165" s="10">
        <v>14.99</v>
      </c>
      <c r="G165" s="9">
        <v>14.99</v>
      </c>
      <c r="H165" s="8" t="s">
        <v>3445</v>
      </c>
      <c r="I165" s="7" t="s">
        <v>3216</v>
      </c>
      <c r="J165" s="11" t="s">
        <v>3242</v>
      </c>
      <c r="K165" s="7" t="s">
        <v>3300</v>
      </c>
      <c r="L165" s="7" t="s">
        <v>3301</v>
      </c>
      <c r="M165" s="12" t="str">
        <f>HYPERLINK("http://slimages.macys.com/is/image/MCY/3876250 ")</f>
        <v xml:space="preserve">http://slimages.macys.com/is/image/MCY/3876250 </v>
      </c>
    </row>
    <row r="166" spans="1:13" ht="15.2" customHeight="1" x14ac:dyDescent="0.2">
      <c r="A166" s="6" t="s">
        <v>2277</v>
      </c>
      <c r="B166" s="7" t="s">
        <v>2278</v>
      </c>
      <c r="C166" s="8">
        <v>1</v>
      </c>
      <c r="D166" s="9">
        <v>6.3</v>
      </c>
      <c r="E166" s="9">
        <v>6.3</v>
      </c>
      <c r="F166" s="10">
        <v>14.99</v>
      </c>
      <c r="G166" s="9">
        <v>14.99</v>
      </c>
      <c r="H166" s="8" t="s">
        <v>2279</v>
      </c>
      <c r="I166" s="7" t="s">
        <v>3185</v>
      </c>
      <c r="J166" s="11" t="s">
        <v>3220</v>
      </c>
      <c r="K166" s="7" t="s">
        <v>3300</v>
      </c>
      <c r="L166" s="7" t="s">
        <v>3301</v>
      </c>
      <c r="M166" s="12" t="str">
        <f>HYPERLINK("http://slimages.macys.com/is/image/MCY/3876250 ")</f>
        <v xml:space="preserve">http://slimages.macys.com/is/image/MCY/3876250 </v>
      </c>
    </row>
    <row r="167" spans="1:13" ht="15.2" customHeight="1" x14ac:dyDescent="0.2">
      <c r="A167" s="6" t="s">
        <v>3985</v>
      </c>
      <c r="B167" s="7" t="s">
        <v>3986</v>
      </c>
      <c r="C167" s="8">
        <v>1</v>
      </c>
      <c r="D167" s="9">
        <v>6.3</v>
      </c>
      <c r="E167" s="9">
        <v>6.3</v>
      </c>
      <c r="F167" s="10">
        <v>14.99</v>
      </c>
      <c r="G167" s="9">
        <v>14.99</v>
      </c>
      <c r="H167" s="8" t="s">
        <v>3987</v>
      </c>
      <c r="I167" s="7" t="s">
        <v>3988</v>
      </c>
      <c r="J167" s="11" t="s">
        <v>3236</v>
      </c>
      <c r="K167" s="7" t="s">
        <v>3300</v>
      </c>
      <c r="L167" s="7" t="s">
        <v>3301</v>
      </c>
      <c r="M167" s="12" t="str">
        <f>HYPERLINK("http://slimages.macys.com/is/image/MCY/3953479 ")</f>
        <v xml:space="preserve">http://slimages.macys.com/is/image/MCY/3953479 </v>
      </c>
    </row>
    <row r="168" spans="1:13" ht="15.2" customHeight="1" x14ac:dyDescent="0.2">
      <c r="A168" s="6" t="s">
        <v>2275</v>
      </c>
      <c r="B168" s="7" t="s">
        <v>2276</v>
      </c>
      <c r="C168" s="8">
        <v>1</v>
      </c>
      <c r="D168" s="9">
        <v>6.3</v>
      </c>
      <c r="E168" s="9">
        <v>6.3</v>
      </c>
      <c r="F168" s="10">
        <v>14.99</v>
      </c>
      <c r="G168" s="9">
        <v>14.99</v>
      </c>
      <c r="H168" s="8" t="s">
        <v>3987</v>
      </c>
      <c r="I168" s="7" t="s">
        <v>3988</v>
      </c>
      <c r="J168" s="11" t="s">
        <v>3242</v>
      </c>
      <c r="K168" s="7" t="s">
        <v>3300</v>
      </c>
      <c r="L168" s="7" t="s">
        <v>3301</v>
      </c>
      <c r="M168" s="12" t="str">
        <f>HYPERLINK("http://slimages.macys.com/is/image/MCY/3953479 ")</f>
        <v xml:space="preserve">http://slimages.macys.com/is/image/MCY/3953479 </v>
      </c>
    </row>
    <row r="169" spans="1:13" ht="15.2" customHeight="1" x14ac:dyDescent="0.2">
      <c r="A169" s="6" t="s">
        <v>425</v>
      </c>
      <c r="B169" s="7" t="s">
        <v>426</v>
      </c>
      <c r="C169" s="8">
        <v>1</v>
      </c>
      <c r="D169" s="9">
        <v>6.21</v>
      </c>
      <c r="E169" s="9">
        <v>6.21</v>
      </c>
      <c r="F169" s="10">
        <v>16.989999999999998</v>
      </c>
      <c r="G169" s="9">
        <v>16.989999999999998</v>
      </c>
      <c r="H169" s="8">
        <v>60450152</v>
      </c>
      <c r="I169" s="7" t="s">
        <v>3263</v>
      </c>
      <c r="J169" s="11" t="s">
        <v>3242</v>
      </c>
      <c r="K169" s="7" t="s">
        <v>3334</v>
      </c>
      <c r="L169" s="7" t="s">
        <v>3368</v>
      </c>
      <c r="M169" s="12" t="str">
        <f>HYPERLINK("http://slimages.macys.com/is/image/MCY/3940690 ")</f>
        <v xml:space="preserve">http://slimages.macys.com/is/image/MCY/3940690 </v>
      </c>
    </row>
    <row r="170" spans="1:13" ht="15.2" customHeight="1" x14ac:dyDescent="0.2">
      <c r="A170" s="6" t="s">
        <v>2283</v>
      </c>
      <c r="B170" s="7" t="s">
        <v>2284</v>
      </c>
      <c r="C170" s="8">
        <v>1</v>
      </c>
      <c r="D170" s="9">
        <v>6.15</v>
      </c>
      <c r="E170" s="9">
        <v>6.15</v>
      </c>
      <c r="F170" s="10">
        <v>14.99</v>
      </c>
      <c r="G170" s="9">
        <v>14.99</v>
      </c>
      <c r="H170" s="8" t="s">
        <v>3450</v>
      </c>
      <c r="I170" s="7" t="s">
        <v>3333</v>
      </c>
      <c r="J170" s="11" t="s">
        <v>3186</v>
      </c>
      <c r="K170" s="7" t="s">
        <v>3300</v>
      </c>
      <c r="L170" s="7" t="s">
        <v>3301</v>
      </c>
      <c r="M170" s="12" t="str">
        <f>HYPERLINK("http://slimages.macys.com/is/image/MCY/3899765 ")</f>
        <v xml:space="preserve">http://slimages.macys.com/is/image/MCY/3899765 </v>
      </c>
    </row>
    <row r="171" spans="1:13" ht="15.2" customHeight="1" x14ac:dyDescent="0.2">
      <c r="A171" s="6" t="s">
        <v>427</v>
      </c>
      <c r="B171" s="7" t="s">
        <v>428</v>
      </c>
      <c r="C171" s="8">
        <v>1</v>
      </c>
      <c r="D171" s="9">
        <v>6</v>
      </c>
      <c r="E171" s="9">
        <v>6</v>
      </c>
      <c r="F171" s="10">
        <v>12.99</v>
      </c>
      <c r="G171" s="9">
        <v>12.99</v>
      </c>
      <c r="H171" s="8" t="s">
        <v>429</v>
      </c>
      <c r="I171" s="7" t="s">
        <v>3252</v>
      </c>
      <c r="J171" s="11" t="s">
        <v>3186</v>
      </c>
      <c r="K171" s="7" t="s">
        <v>3387</v>
      </c>
      <c r="L171" s="7" t="s">
        <v>3429</v>
      </c>
      <c r="M171" s="12" t="str">
        <f>HYPERLINK("http://slimages.macys.com/is/image/MCY/3773682 ")</f>
        <v xml:space="preserve">http://slimages.macys.com/is/image/MCY/3773682 </v>
      </c>
    </row>
    <row r="172" spans="1:13" ht="15.2" customHeight="1" x14ac:dyDescent="0.2">
      <c r="A172" s="6" t="s">
        <v>430</v>
      </c>
      <c r="B172" s="7" t="s">
        <v>431</v>
      </c>
      <c r="C172" s="8">
        <v>1</v>
      </c>
      <c r="D172" s="9">
        <v>6</v>
      </c>
      <c r="E172" s="9">
        <v>6</v>
      </c>
      <c r="F172" s="10">
        <v>12.99</v>
      </c>
      <c r="G172" s="9">
        <v>12.99</v>
      </c>
      <c r="H172" s="8" t="s">
        <v>429</v>
      </c>
      <c r="I172" s="7" t="s">
        <v>3252</v>
      </c>
      <c r="J172" s="11" t="s">
        <v>3220</v>
      </c>
      <c r="K172" s="7" t="s">
        <v>3387</v>
      </c>
      <c r="L172" s="7" t="s">
        <v>3429</v>
      </c>
      <c r="M172" s="12" t="str">
        <f>HYPERLINK("http://slimages.macys.com/is/image/MCY/3773682 ")</f>
        <v xml:space="preserve">http://slimages.macys.com/is/image/MCY/3773682 </v>
      </c>
    </row>
    <row r="173" spans="1:13" ht="15.2" customHeight="1" x14ac:dyDescent="0.2">
      <c r="A173" s="6" t="s">
        <v>3460</v>
      </c>
      <c r="B173" s="7" t="s">
        <v>3461</v>
      </c>
      <c r="C173" s="8">
        <v>1</v>
      </c>
      <c r="D173" s="9">
        <v>5.95</v>
      </c>
      <c r="E173" s="9">
        <v>5.95</v>
      </c>
      <c r="F173" s="10">
        <v>12.99</v>
      </c>
      <c r="G173" s="9">
        <v>12.99</v>
      </c>
      <c r="H173" s="8" t="s">
        <v>3462</v>
      </c>
      <c r="I173" s="7" t="s">
        <v>3386</v>
      </c>
      <c r="J173" s="11" t="s">
        <v>3242</v>
      </c>
      <c r="K173" s="7" t="s">
        <v>3387</v>
      </c>
      <c r="L173" s="7" t="s">
        <v>3429</v>
      </c>
      <c r="M173" s="12" t="str">
        <f>HYPERLINK("http://slimages.macys.com/is/image/MCY/3671497 ")</f>
        <v xml:space="preserve">http://slimages.macys.com/is/image/MCY/3671497 </v>
      </c>
    </row>
    <row r="174" spans="1:13" ht="15.2" customHeight="1" x14ac:dyDescent="0.2">
      <c r="A174" s="6" t="s">
        <v>432</v>
      </c>
      <c r="B174" s="7" t="s">
        <v>433</v>
      </c>
      <c r="C174" s="8">
        <v>1</v>
      </c>
      <c r="D174" s="9">
        <v>5.65</v>
      </c>
      <c r="E174" s="9">
        <v>5.65</v>
      </c>
      <c r="F174" s="10">
        <v>12.99</v>
      </c>
      <c r="G174" s="9">
        <v>12.99</v>
      </c>
      <c r="H174" s="8" t="s">
        <v>1906</v>
      </c>
      <c r="I174" s="7" t="s">
        <v>3185</v>
      </c>
      <c r="J174" s="11" t="s">
        <v>3231</v>
      </c>
      <c r="K174" s="7" t="s">
        <v>3387</v>
      </c>
      <c r="L174" s="7" t="s">
        <v>3443</v>
      </c>
      <c r="M174" s="12" t="str">
        <f>HYPERLINK("http://slimages.macys.com/is/image/MCY/3754968 ")</f>
        <v xml:space="preserve">http://slimages.macys.com/is/image/MCY/3754968 </v>
      </c>
    </row>
    <row r="175" spans="1:13" ht="15.2" customHeight="1" x14ac:dyDescent="0.2">
      <c r="A175" s="6" t="s">
        <v>434</v>
      </c>
      <c r="B175" s="7" t="s">
        <v>435</v>
      </c>
      <c r="C175" s="8">
        <v>1</v>
      </c>
      <c r="D175" s="9">
        <v>5.65</v>
      </c>
      <c r="E175" s="9">
        <v>5.65</v>
      </c>
      <c r="F175" s="10">
        <v>12.99</v>
      </c>
      <c r="G175" s="9">
        <v>12.99</v>
      </c>
      <c r="H175" s="8" t="s">
        <v>436</v>
      </c>
      <c r="I175" s="7" t="s">
        <v>3214</v>
      </c>
      <c r="J175" s="11" t="s">
        <v>3202</v>
      </c>
      <c r="K175" s="7" t="s">
        <v>3387</v>
      </c>
      <c r="L175" s="7" t="s">
        <v>3443</v>
      </c>
      <c r="M175" s="12" t="str">
        <f>HYPERLINK("http://slimages.macys.com/is/image/MCY/3797939 ")</f>
        <v xml:space="preserve">http://slimages.macys.com/is/image/MCY/3797939 </v>
      </c>
    </row>
    <row r="176" spans="1:13" ht="15.2" customHeight="1" x14ac:dyDescent="0.2">
      <c r="A176" s="6" t="s">
        <v>437</v>
      </c>
      <c r="B176" s="7" t="s">
        <v>438</v>
      </c>
      <c r="C176" s="8">
        <v>1</v>
      </c>
      <c r="D176" s="9">
        <v>5.5</v>
      </c>
      <c r="E176" s="9">
        <v>5.5</v>
      </c>
      <c r="F176" s="10">
        <v>12.99</v>
      </c>
      <c r="G176" s="9">
        <v>12.99</v>
      </c>
      <c r="H176" s="8" t="s">
        <v>4133</v>
      </c>
      <c r="I176" s="7" t="s">
        <v>3495</v>
      </c>
      <c r="J176" s="11" t="s">
        <v>3242</v>
      </c>
      <c r="K176" s="7" t="s">
        <v>3387</v>
      </c>
      <c r="L176" s="7" t="s">
        <v>3388</v>
      </c>
      <c r="M176" s="12" t="str">
        <f>HYPERLINK("http://slimages.macys.com/is/image/MCY/3700217 ")</f>
        <v xml:space="preserve">http://slimages.macys.com/is/image/MCY/3700217 </v>
      </c>
    </row>
    <row r="177" spans="1:13" ht="15.2" customHeight="1" x14ac:dyDescent="0.2">
      <c r="A177" s="6" t="s">
        <v>3745</v>
      </c>
      <c r="B177" s="7" t="s">
        <v>3746</v>
      </c>
      <c r="C177" s="8">
        <v>1</v>
      </c>
      <c r="D177" s="9">
        <v>5.5</v>
      </c>
      <c r="E177" s="9">
        <v>5.5</v>
      </c>
      <c r="F177" s="10">
        <v>16.989999999999998</v>
      </c>
      <c r="G177" s="9">
        <v>16.989999999999998</v>
      </c>
      <c r="H177" s="8" t="s">
        <v>3469</v>
      </c>
      <c r="I177" s="7" t="s">
        <v>3235</v>
      </c>
      <c r="J177" s="11" t="s">
        <v>3220</v>
      </c>
      <c r="K177" s="7" t="s">
        <v>3387</v>
      </c>
      <c r="L177" s="7" t="s">
        <v>3442</v>
      </c>
      <c r="M177" s="12" t="str">
        <f>HYPERLINK("http://slimages.macys.com/is/image/MCY/3953467 ")</f>
        <v xml:space="preserve">http://slimages.macys.com/is/image/MCY/3953467 </v>
      </c>
    </row>
    <row r="178" spans="1:13" ht="15.2" customHeight="1" x14ac:dyDescent="0.2">
      <c r="A178" s="6" t="s">
        <v>3999</v>
      </c>
      <c r="B178" s="7" t="s">
        <v>4000</v>
      </c>
      <c r="C178" s="8">
        <v>2</v>
      </c>
      <c r="D178" s="9">
        <v>5.5</v>
      </c>
      <c r="E178" s="9">
        <v>11</v>
      </c>
      <c r="F178" s="10">
        <v>13.99</v>
      </c>
      <c r="G178" s="9">
        <v>27.98</v>
      </c>
      <c r="H178" s="8" t="s">
        <v>4001</v>
      </c>
      <c r="I178" s="7" t="s">
        <v>3216</v>
      </c>
      <c r="J178" s="11" t="s">
        <v>3202</v>
      </c>
      <c r="K178" s="7" t="s">
        <v>3387</v>
      </c>
      <c r="L178" s="7" t="s">
        <v>3371</v>
      </c>
      <c r="M178" s="12" t="str">
        <f>HYPERLINK("http://slimages.macys.com/is/image/MCY/3774754 ")</f>
        <v xml:space="preserve">http://slimages.macys.com/is/image/MCY/3774754 </v>
      </c>
    </row>
    <row r="179" spans="1:13" ht="15.2" customHeight="1" x14ac:dyDescent="0.2">
      <c r="A179" s="6" t="s">
        <v>4136</v>
      </c>
      <c r="B179" s="7" t="s">
        <v>4137</v>
      </c>
      <c r="C179" s="8">
        <v>1</v>
      </c>
      <c r="D179" s="9">
        <v>5.5</v>
      </c>
      <c r="E179" s="9">
        <v>5.5</v>
      </c>
      <c r="F179" s="10">
        <v>12.99</v>
      </c>
      <c r="G179" s="9">
        <v>12.99</v>
      </c>
      <c r="H179" s="8" t="s">
        <v>4138</v>
      </c>
      <c r="I179" s="7" t="s">
        <v>3252</v>
      </c>
      <c r="J179" s="11" t="s">
        <v>3186</v>
      </c>
      <c r="K179" s="7" t="s">
        <v>3387</v>
      </c>
      <c r="L179" s="7" t="s">
        <v>3404</v>
      </c>
      <c r="M179" s="12" t="str">
        <f>HYPERLINK("http://slimages.macys.com/is/image/MCY/3875986 ")</f>
        <v xml:space="preserve">http://slimages.macys.com/is/image/MCY/3875986 </v>
      </c>
    </row>
    <row r="180" spans="1:13" ht="15.2" customHeight="1" x14ac:dyDescent="0.2">
      <c r="A180" s="6" t="s">
        <v>3749</v>
      </c>
      <c r="B180" s="7" t="s">
        <v>3750</v>
      </c>
      <c r="C180" s="8">
        <v>1</v>
      </c>
      <c r="D180" s="9">
        <v>5.5</v>
      </c>
      <c r="E180" s="9">
        <v>5.5</v>
      </c>
      <c r="F180" s="10">
        <v>16.989999999999998</v>
      </c>
      <c r="G180" s="9">
        <v>16.989999999999998</v>
      </c>
      <c r="H180" s="8" t="s">
        <v>3469</v>
      </c>
      <c r="I180" s="7" t="s">
        <v>3252</v>
      </c>
      <c r="J180" s="11" t="s">
        <v>3186</v>
      </c>
      <c r="K180" s="7" t="s">
        <v>3387</v>
      </c>
      <c r="L180" s="7" t="s">
        <v>3442</v>
      </c>
      <c r="M180" s="12" t="str">
        <f>HYPERLINK("http://slimages.macys.com/is/image/MCY/3953466 ")</f>
        <v xml:space="preserve">http://slimages.macys.com/is/image/MCY/3953466 </v>
      </c>
    </row>
    <row r="181" spans="1:13" ht="15.2" customHeight="1" x14ac:dyDescent="0.2">
      <c r="A181" s="6" t="s">
        <v>439</v>
      </c>
      <c r="B181" s="7" t="s">
        <v>440</v>
      </c>
      <c r="C181" s="8">
        <v>1</v>
      </c>
      <c r="D181" s="9">
        <v>5.35</v>
      </c>
      <c r="E181" s="9">
        <v>5.35</v>
      </c>
      <c r="F181" s="10">
        <v>12.99</v>
      </c>
      <c r="G181" s="9">
        <v>12.99</v>
      </c>
      <c r="H181" s="8" t="s">
        <v>441</v>
      </c>
      <c r="I181" s="7" t="s">
        <v>3394</v>
      </c>
      <c r="J181" s="11" t="s">
        <v>3186</v>
      </c>
      <c r="K181" s="7" t="s">
        <v>3300</v>
      </c>
      <c r="L181" s="7" t="s">
        <v>3301</v>
      </c>
      <c r="M181" s="12" t="str">
        <f>HYPERLINK("http://slimages.macys.com/is/image/MCY/3451733 ")</f>
        <v xml:space="preserve">http://slimages.macys.com/is/image/MCY/3451733 </v>
      </c>
    </row>
    <row r="182" spans="1:13" ht="15.2" customHeight="1" x14ac:dyDescent="0.2">
      <c r="A182" s="6" t="s">
        <v>442</v>
      </c>
      <c r="B182" s="7" t="s">
        <v>443</v>
      </c>
      <c r="C182" s="8">
        <v>1</v>
      </c>
      <c r="D182" s="9">
        <v>5.35</v>
      </c>
      <c r="E182" s="9">
        <v>5.35</v>
      </c>
      <c r="F182" s="10">
        <v>12.99</v>
      </c>
      <c r="G182" s="9">
        <v>12.99</v>
      </c>
      <c r="H182" s="8" t="s">
        <v>444</v>
      </c>
      <c r="I182" s="7" t="s">
        <v>3185</v>
      </c>
      <c r="J182" s="11" t="s">
        <v>3231</v>
      </c>
      <c r="K182" s="7" t="s">
        <v>3300</v>
      </c>
      <c r="L182" s="7" t="s">
        <v>3301</v>
      </c>
      <c r="M182" s="12" t="str">
        <f>HYPERLINK("http://slimages.macys.com/is/image/MCY/3451733 ")</f>
        <v xml:space="preserve">http://slimages.macys.com/is/image/MCY/3451733 </v>
      </c>
    </row>
    <row r="183" spans="1:13" ht="15.2" customHeight="1" x14ac:dyDescent="0.2">
      <c r="A183" s="6" t="s">
        <v>3752</v>
      </c>
      <c r="B183" s="7" t="s">
        <v>3753</v>
      </c>
      <c r="C183" s="8">
        <v>1</v>
      </c>
      <c r="D183" s="9">
        <v>5.25</v>
      </c>
      <c r="E183" s="9">
        <v>5.25</v>
      </c>
      <c r="F183" s="10">
        <v>12.99</v>
      </c>
      <c r="G183" s="9">
        <v>12.99</v>
      </c>
      <c r="H183" s="8" t="s">
        <v>3481</v>
      </c>
      <c r="I183" s="7" t="s">
        <v>3252</v>
      </c>
      <c r="J183" s="11" t="s">
        <v>3242</v>
      </c>
      <c r="K183" s="7" t="s">
        <v>3387</v>
      </c>
      <c r="L183" s="7" t="s">
        <v>3429</v>
      </c>
      <c r="M183" s="12" t="str">
        <f>HYPERLINK("http://slimages.macys.com/is/image/MCY/3875975 ")</f>
        <v xml:space="preserve">http://slimages.macys.com/is/image/MCY/3875975 </v>
      </c>
    </row>
    <row r="184" spans="1:13" ht="15.2" customHeight="1" x14ac:dyDescent="0.2">
      <c r="A184" s="6" t="s">
        <v>445</v>
      </c>
      <c r="B184" s="7" t="s">
        <v>446</v>
      </c>
      <c r="C184" s="8">
        <v>1</v>
      </c>
      <c r="D184" s="9">
        <v>5.25</v>
      </c>
      <c r="E184" s="9">
        <v>5.25</v>
      </c>
      <c r="F184" s="10">
        <v>12.99</v>
      </c>
      <c r="G184" s="9">
        <v>12.99</v>
      </c>
      <c r="H184" s="8" t="s">
        <v>4004</v>
      </c>
      <c r="I184" s="7" t="s">
        <v>3252</v>
      </c>
      <c r="J184" s="11" t="s">
        <v>3220</v>
      </c>
      <c r="K184" s="7" t="s">
        <v>3387</v>
      </c>
      <c r="L184" s="7" t="s">
        <v>3429</v>
      </c>
      <c r="M184" s="12" t="str">
        <f>HYPERLINK("http://slimages.macys.com/is/image/MCY/3875976 ")</f>
        <v xml:space="preserve">http://slimages.macys.com/is/image/MCY/3875976 </v>
      </c>
    </row>
    <row r="185" spans="1:13" ht="15.2" customHeight="1" x14ac:dyDescent="0.2">
      <c r="A185" s="6" t="s">
        <v>447</v>
      </c>
      <c r="B185" s="7" t="s">
        <v>448</v>
      </c>
      <c r="C185" s="8">
        <v>1</v>
      </c>
      <c r="D185" s="9">
        <v>5.25</v>
      </c>
      <c r="E185" s="9">
        <v>5.25</v>
      </c>
      <c r="F185" s="10">
        <v>13.99</v>
      </c>
      <c r="G185" s="9">
        <v>13.99</v>
      </c>
      <c r="H185" s="8" t="s">
        <v>4329</v>
      </c>
      <c r="I185" s="7" t="s">
        <v>3185</v>
      </c>
      <c r="J185" s="11" t="s">
        <v>3202</v>
      </c>
      <c r="K185" s="7" t="s">
        <v>3387</v>
      </c>
      <c r="L185" s="7" t="s">
        <v>3409</v>
      </c>
      <c r="M185" s="12" t="str">
        <f>HYPERLINK("http://slimages.macys.com/is/image/MCY/3734901 ")</f>
        <v xml:space="preserve">http://slimages.macys.com/is/image/MCY/3734901 </v>
      </c>
    </row>
    <row r="186" spans="1:13" ht="15.2" customHeight="1" x14ac:dyDescent="0.2">
      <c r="A186" s="6" t="s">
        <v>1728</v>
      </c>
      <c r="B186" s="7" t="s">
        <v>1729</v>
      </c>
      <c r="C186" s="8">
        <v>1</v>
      </c>
      <c r="D186" s="9">
        <v>4.3499999999999996</v>
      </c>
      <c r="E186" s="9">
        <v>4.3499999999999996</v>
      </c>
      <c r="F186" s="10">
        <v>13.99</v>
      </c>
      <c r="G186" s="9">
        <v>13.99</v>
      </c>
      <c r="H186" s="8" t="s">
        <v>3756</v>
      </c>
      <c r="I186" s="7" t="s">
        <v>3252</v>
      </c>
      <c r="J186" s="11" t="s">
        <v>3220</v>
      </c>
      <c r="K186" s="7" t="s">
        <v>3387</v>
      </c>
      <c r="L186" s="7" t="s">
        <v>3409</v>
      </c>
      <c r="M186" s="12" t="str">
        <f>HYPERLINK("http://slimages.macys.com/is/image/MCY/3931147 ")</f>
        <v xml:space="preserve">http://slimages.macys.com/is/image/MCY/3931147 </v>
      </c>
    </row>
    <row r="187" spans="1:13" ht="15.2" customHeight="1" x14ac:dyDescent="0.2">
      <c r="A187" s="6" t="s">
        <v>1734</v>
      </c>
      <c r="B187" s="7" t="s">
        <v>1735</v>
      </c>
      <c r="C187" s="8">
        <v>1</v>
      </c>
      <c r="D187" s="9">
        <v>4</v>
      </c>
      <c r="E187" s="9">
        <v>4</v>
      </c>
      <c r="F187" s="10">
        <v>12.99</v>
      </c>
      <c r="G187" s="9">
        <v>12.99</v>
      </c>
      <c r="H187" s="8" t="s">
        <v>4010</v>
      </c>
      <c r="I187" s="7" t="s">
        <v>3321</v>
      </c>
      <c r="J187" s="11" t="s">
        <v>3186</v>
      </c>
      <c r="K187" s="7" t="s">
        <v>3326</v>
      </c>
      <c r="L187" s="7" t="s">
        <v>3371</v>
      </c>
      <c r="M187" s="12" t="str">
        <f>HYPERLINK("http://slimages.macys.com/is/image/MCY/3625071 ")</f>
        <v xml:space="preserve">http://slimages.macys.com/is/image/MCY/3625071 </v>
      </c>
    </row>
    <row r="188" spans="1:13" ht="15.2" customHeight="1" x14ac:dyDescent="0.2">
      <c r="A188" s="6" t="s">
        <v>1732</v>
      </c>
      <c r="B188" s="7" t="s">
        <v>1733</v>
      </c>
      <c r="C188" s="8">
        <v>1</v>
      </c>
      <c r="D188" s="9">
        <v>4</v>
      </c>
      <c r="E188" s="9">
        <v>4</v>
      </c>
      <c r="F188" s="10">
        <v>12.99</v>
      </c>
      <c r="G188" s="9">
        <v>12.99</v>
      </c>
      <c r="H188" s="8" t="s">
        <v>4010</v>
      </c>
      <c r="I188" s="7" t="s">
        <v>3191</v>
      </c>
      <c r="J188" s="11" t="s">
        <v>3202</v>
      </c>
      <c r="K188" s="7" t="s">
        <v>3326</v>
      </c>
      <c r="L188" s="7" t="s">
        <v>3371</v>
      </c>
      <c r="M188" s="12" t="str">
        <f>HYPERLINK("http://slimages.macys.com/is/image/MCY/3625071 ")</f>
        <v xml:space="preserve">http://slimages.macys.com/is/image/MCY/3625071 </v>
      </c>
    </row>
    <row r="189" spans="1:13" ht="15.2" customHeight="1" x14ac:dyDescent="0.2">
      <c r="A189" s="6" t="s">
        <v>449</v>
      </c>
      <c r="B189" s="7" t="s">
        <v>450</v>
      </c>
      <c r="C189" s="8">
        <v>1</v>
      </c>
      <c r="D189" s="9">
        <v>3.72</v>
      </c>
      <c r="E189" s="9">
        <v>3.72</v>
      </c>
      <c r="F189" s="10">
        <v>7.99</v>
      </c>
      <c r="G189" s="9">
        <v>7.99</v>
      </c>
      <c r="H189" s="8" t="s">
        <v>3484</v>
      </c>
      <c r="I189" s="7" t="s">
        <v>3203</v>
      </c>
      <c r="J189" s="11" t="s">
        <v>3202</v>
      </c>
      <c r="K189" s="7" t="s">
        <v>3387</v>
      </c>
      <c r="L189" s="7" t="s">
        <v>3409</v>
      </c>
      <c r="M189" s="12" t="str">
        <f>HYPERLINK("http://slimages.macys.com/is/image/MCY/3609979 ")</f>
        <v xml:space="preserve">http://slimages.macys.com/is/image/MCY/3609979 </v>
      </c>
    </row>
    <row r="190" spans="1:13" ht="15.2" customHeight="1" x14ac:dyDescent="0.2">
      <c r="A190" s="6" t="s">
        <v>2440</v>
      </c>
      <c r="B190" s="7" t="s">
        <v>2441</v>
      </c>
      <c r="C190" s="8">
        <v>1</v>
      </c>
      <c r="D190" s="9">
        <v>3.72</v>
      </c>
      <c r="E190" s="9">
        <v>3.72</v>
      </c>
      <c r="F190" s="10">
        <v>7.99</v>
      </c>
      <c r="G190" s="9">
        <v>7.99</v>
      </c>
      <c r="H190" s="8" t="s">
        <v>3484</v>
      </c>
      <c r="I190" s="7" t="s">
        <v>3182</v>
      </c>
      <c r="J190" s="11" t="s">
        <v>3236</v>
      </c>
      <c r="K190" s="7" t="s">
        <v>3387</v>
      </c>
      <c r="L190" s="7" t="s">
        <v>3409</v>
      </c>
      <c r="M190" s="12" t="str">
        <f>HYPERLINK("http://slimages.macys.com/is/image/MCY/3609979 ")</f>
        <v xml:space="preserve">http://slimages.macys.com/is/image/MCY/3609979 </v>
      </c>
    </row>
    <row r="191" spans="1:13" ht="15.2" customHeight="1" x14ac:dyDescent="0.2">
      <c r="A191" s="6" t="s">
        <v>451</v>
      </c>
      <c r="B191" s="7" t="s">
        <v>452</v>
      </c>
      <c r="C191" s="8">
        <v>1</v>
      </c>
      <c r="D191" s="9">
        <v>33.369999999999997</v>
      </c>
      <c r="E191" s="9">
        <v>33.369999999999997</v>
      </c>
      <c r="F191" s="10">
        <v>89</v>
      </c>
      <c r="G191" s="9">
        <v>89</v>
      </c>
      <c r="H191" s="8">
        <v>7066407</v>
      </c>
      <c r="I191" s="7" t="s">
        <v>3321</v>
      </c>
      <c r="J191" s="11" t="s">
        <v>453</v>
      </c>
      <c r="K191" s="7" t="s">
        <v>3487</v>
      </c>
      <c r="L191" s="7" t="s">
        <v>3488</v>
      </c>
      <c r="M191" s="12"/>
    </row>
    <row r="192" spans="1:13" ht="15.2" customHeight="1" x14ac:dyDescent="0.2">
      <c r="A192" s="6" t="s">
        <v>454</v>
      </c>
      <c r="B192" s="7" t="s">
        <v>455</v>
      </c>
      <c r="C192" s="8">
        <v>1</v>
      </c>
      <c r="D192" s="9">
        <v>30</v>
      </c>
      <c r="E192" s="9">
        <v>30</v>
      </c>
      <c r="F192" s="10">
        <v>79.5</v>
      </c>
      <c r="G192" s="9">
        <v>79.5</v>
      </c>
      <c r="H192" s="8" t="s">
        <v>456</v>
      </c>
      <c r="I192" s="7" t="s">
        <v>3640</v>
      </c>
      <c r="J192" s="11"/>
      <c r="K192" s="7" t="s">
        <v>3198</v>
      </c>
      <c r="L192" s="7" t="s">
        <v>3199</v>
      </c>
      <c r="M192" s="12"/>
    </row>
    <row r="193" spans="1:13" ht="15.2" customHeight="1" x14ac:dyDescent="0.2">
      <c r="A193" s="6" t="s">
        <v>457</v>
      </c>
      <c r="B193" s="7" t="s">
        <v>458</v>
      </c>
      <c r="C193" s="8">
        <v>1</v>
      </c>
      <c r="D193" s="9">
        <v>26.25</v>
      </c>
      <c r="E193" s="9">
        <v>26.25</v>
      </c>
      <c r="F193" s="10">
        <v>79</v>
      </c>
      <c r="G193" s="9">
        <v>79</v>
      </c>
      <c r="H193" s="8" t="s">
        <v>2865</v>
      </c>
      <c r="I193" s="7" t="s">
        <v>3185</v>
      </c>
      <c r="J193" s="11" t="s">
        <v>3202</v>
      </c>
      <c r="K193" s="7" t="s">
        <v>3205</v>
      </c>
      <c r="L193" s="7" t="s">
        <v>3500</v>
      </c>
      <c r="M193" s="12"/>
    </row>
    <row r="194" spans="1:13" ht="15.2" customHeight="1" x14ac:dyDescent="0.2">
      <c r="A194" s="6" t="s">
        <v>459</v>
      </c>
      <c r="B194" s="7" t="s">
        <v>460</v>
      </c>
      <c r="C194" s="8">
        <v>1</v>
      </c>
      <c r="D194" s="9">
        <v>25.25</v>
      </c>
      <c r="E194" s="9">
        <v>25.25</v>
      </c>
      <c r="F194" s="10">
        <v>79</v>
      </c>
      <c r="G194" s="9">
        <v>79</v>
      </c>
      <c r="H194" s="8" t="s">
        <v>461</v>
      </c>
      <c r="I194" s="7"/>
      <c r="J194" s="11" t="s">
        <v>3202</v>
      </c>
      <c r="K194" s="7" t="s">
        <v>3217</v>
      </c>
      <c r="L194" s="7" t="s">
        <v>3218</v>
      </c>
      <c r="M194" s="12"/>
    </row>
    <row r="195" spans="1:13" ht="15.2" customHeight="1" x14ac:dyDescent="0.2">
      <c r="A195" s="6" t="s">
        <v>462</v>
      </c>
      <c r="B195" s="7" t="s">
        <v>463</v>
      </c>
      <c r="C195" s="8">
        <v>1</v>
      </c>
      <c r="D195" s="9">
        <v>24.68</v>
      </c>
      <c r="E195" s="9">
        <v>24.68</v>
      </c>
      <c r="F195" s="10">
        <v>69.5</v>
      </c>
      <c r="G195" s="9">
        <v>69.5</v>
      </c>
      <c r="H195" s="8" t="s">
        <v>464</v>
      </c>
      <c r="I195" s="7" t="s">
        <v>3182</v>
      </c>
      <c r="J195" s="11" t="s">
        <v>3229</v>
      </c>
      <c r="K195" s="7" t="s">
        <v>3193</v>
      </c>
      <c r="L195" s="7" t="s">
        <v>3194</v>
      </c>
      <c r="M195" s="12"/>
    </row>
    <row r="196" spans="1:13" ht="15.2" customHeight="1" x14ac:dyDescent="0.2">
      <c r="A196" s="6" t="s">
        <v>465</v>
      </c>
      <c r="B196" s="7" t="s">
        <v>466</v>
      </c>
      <c r="C196" s="8">
        <v>1</v>
      </c>
      <c r="D196" s="9">
        <v>24.68</v>
      </c>
      <c r="E196" s="9">
        <v>24.68</v>
      </c>
      <c r="F196" s="10">
        <v>69.5</v>
      </c>
      <c r="G196" s="9">
        <v>69.5</v>
      </c>
      <c r="H196" s="8" t="s">
        <v>464</v>
      </c>
      <c r="I196" s="7" t="s">
        <v>3182</v>
      </c>
      <c r="J196" s="11" t="s">
        <v>3211</v>
      </c>
      <c r="K196" s="7" t="s">
        <v>3193</v>
      </c>
      <c r="L196" s="7" t="s">
        <v>3194</v>
      </c>
      <c r="M196" s="12"/>
    </row>
    <row r="197" spans="1:13" ht="15.2" customHeight="1" x14ac:dyDescent="0.2">
      <c r="A197" s="6" t="s">
        <v>467</v>
      </c>
      <c r="B197" s="7" t="s">
        <v>468</v>
      </c>
      <c r="C197" s="8">
        <v>2</v>
      </c>
      <c r="D197" s="9">
        <v>24.67</v>
      </c>
      <c r="E197" s="9">
        <v>49.34</v>
      </c>
      <c r="F197" s="10">
        <v>69.5</v>
      </c>
      <c r="G197" s="9">
        <v>139</v>
      </c>
      <c r="H197" s="8" t="s">
        <v>1813</v>
      </c>
      <c r="I197" s="7" t="s">
        <v>3234</v>
      </c>
      <c r="J197" s="11" t="s">
        <v>3229</v>
      </c>
      <c r="K197" s="7" t="s">
        <v>3193</v>
      </c>
      <c r="L197" s="7" t="s">
        <v>3194</v>
      </c>
      <c r="M197" s="12"/>
    </row>
    <row r="198" spans="1:13" ht="15.2" customHeight="1" x14ac:dyDescent="0.2">
      <c r="A198" s="6" t="s">
        <v>1811</v>
      </c>
      <c r="B198" s="7" t="s">
        <v>1812</v>
      </c>
      <c r="C198" s="8">
        <v>1</v>
      </c>
      <c r="D198" s="9">
        <v>24.67</v>
      </c>
      <c r="E198" s="9">
        <v>24.67</v>
      </c>
      <c r="F198" s="10">
        <v>69.5</v>
      </c>
      <c r="G198" s="9">
        <v>69.5</v>
      </c>
      <c r="H198" s="8" t="s">
        <v>1813</v>
      </c>
      <c r="I198" s="7" t="s">
        <v>3234</v>
      </c>
      <c r="J198" s="11" t="s">
        <v>3211</v>
      </c>
      <c r="K198" s="7" t="s">
        <v>3193</v>
      </c>
      <c r="L198" s="7" t="s">
        <v>3194</v>
      </c>
      <c r="M198" s="12"/>
    </row>
    <row r="199" spans="1:13" ht="15.2" customHeight="1" x14ac:dyDescent="0.2">
      <c r="A199" s="6" t="s">
        <v>469</v>
      </c>
      <c r="B199" s="7" t="s">
        <v>470</v>
      </c>
      <c r="C199" s="8">
        <v>1</v>
      </c>
      <c r="D199" s="9">
        <v>23.85</v>
      </c>
      <c r="E199" s="9">
        <v>23.85</v>
      </c>
      <c r="F199" s="10">
        <v>79.5</v>
      </c>
      <c r="G199" s="9">
        <v>79.5</v>
      </c>
      <c r="H199" s="8">
        <v>49022936</v>
      </c>
      <c r="I199" s="7" t="s">
        <v>3185</v>
      </c>
      <c r="J199" s="11" t="s">
        <v>3231</v>
      </c>
      <c r="K199" s="7" t="s">
        <v>3187</v>
      </c>
      <c r="L199" s="7" t="s">
        <v>3188</v>
      </c>
      <c r="M199" s="12"/>
    </row>
    <row r="200" spans="1:13" ht="15.2" customHeight="1" x14ac:dyDescent="0.2">
      <c r="A200" s="6" t="s">
        <v>471</v>
      </c>
      <c r="B200" s="7" t="s">
        <v>472</v>
      </c>
      <c r="C200" s="8">
        <v>1</v>
      </c>
      <c r="D200" s="9">
        <v>23.5</v>
      </c>
      <c r="E200" s="9">
        <v>23.5</v>
      </c>
      <c r="F200" s="10">
        <v>69</v>
      </c>
      <c r="G200" s="9">
        <v>69</v>
      </c>
      <c r="H200" s="8" t="s">
        <v>2871</v>
      </c>
      <c r="I200" s="7"/>
      <c r="J200" s="11" t="s">
        <v>3204</v>
      </c>
      <c r="K200" s="7" t="s">
        <v>3205</v>
      </c>
      <c r="L200" s="7" t="s">
        <v>3206</v>
      </c>
      <c r="M200" s="12"/>
    </row>
    <row r="201" spans="1:13" ht="15.2" customHeight="1" x14ac:dyDescent="0.2">
      <c r="A201" s="6" t="s">
        <v>473</v>
      </c>
      <c r="B201" s="7" t="s">
        <v>474</v>
      </c>
      <c r="C201" s="8">
        <v>1</v>
      </c>
      <c r="D201" s="9">
        <v>23</v>
      </c>
      <c r="E201" s="9">
        <v>23</v>
      </c>
      <c r="F201" s="10">
        <v>69</v>
      </c>
      <c r="G201" s="9">
        <v>69</v>
      </c>
      <c r="H201" s="8" t="s">
        <v>475</v>
      </c>
      <c r="I201" s="7" t="s">
        <v>3201</v>
      </c>
      <c r="J201" s="11" t="s">
        <v>3331</v>
      </c>
      <c r="K201" s="7" t="s">
        <v>3205</v>
      </c>
      <c r="L201" s="7" t="s">
        <v>3206</v>
      </c>
      <c r="M201" s="12"/>
    </row>
    <row r="202" spans="1:13" ht="15.2" customHeight="1" x14ac:dyDescent="0.2">
      <c r="A202" s="6" t="s">
        <v>476</v>
      </c>
      <c r="B202" s="7" t="s">
        <v>2451</v>
      </c>
      <c r="C202" s="8">
        <v>1</v>
      </c>
      <c r="D202" s="9">
        <v>23</v>
      </c>
      <c r="E202" s="9">
        <v>23</v>
      </c>
      <c r="F202" s="10">
        <v>59.5</v>
      </c>
      <c r="G202" s="9">
        <v>59.5</v>
      </c>
      <c r="H202" s="8" t="s">
        <v>3494</v>
      </c>
      <c r="I202" s="7" t="s">
        <v>3495</v>
      </c>
      <c r="J202" s="11"/>
      <c r="K202" s="7" t="s">
        <v>3198</v>
      </c>
      <c r="L202" s="7" t="s">
        <v>3199</v>
      </c>
      <c r="M202" s="12"/>
    </row>
    <row r="203" spans="1:13" ht="15.2" customHeight="1" x14ac:dyDescent="0.2">
      <c r="A203" s="6" t="s">
        <v>477</v>
      </c>
      <c r="B203" s="7" t="s">
        <v>478</v>
      </c>
      <c r="C203" s="8">
        <v>1</v>
      </c>
      <c r="D203" s="9">
        <v>22.5</v>
      </c>
      <c r="E203" s="9">
        <v>22.5</v>
      </c>
      <c r="F203" s="10">
        <v>69</v>
      </c>
      <c r="G203" s="9">
        <v>69</v>
      </c>
      <c r="H203" s="8" t="s">
        <v>1395</v>
      </c>
      <c r="I203" s="7" t="s">
        <v>3182</v>
      </c>
      <c r="J203" s="11"/>
      <c r="K203" s="7" t="s">
        <v>3205</v>
      </c>
      <c r="L203" s="7" t="s">
        <v>3215</v>
      </c>
      <c r="M203" s="12"/>
    </row>
    <row r="204" spans="1:13" ht="15.2" customHeight="1" x14ac:dyDescent="0.2">
      <c r="A204" s="6" t="s">
        <v>479</v>
      </c>
      <c r="B204" s="7" t="s">
        <v>480</v>
      </c>
      <c r="C204" s="8">
        <v>1</v>
      </c>
      <c r="D204" s="9">
        <v>22.12</v>
      </c>
      <c r="E204" s="9">
        <v>22.12</v>
      </c>
      <c r="F204" s="10">
        <v>59</v>
      </c>
      <c r="G204" s="9">
        <v>59</v>
      </c>
      <c r="H204" s="8">
        <v>7056626</v>
      </c>
      <c r="I204" s="7" t="s">
        <v>3321</v>
      </c>
      <c r="J204" s="11" t="s">
        <v>3486</v>
      </c>
      <c r="K204" s="7" t="s">
        <v>3487</v>
      </c>
      <c r="L204" s="7" t="s">
        <v>3488</v>
      </c>
      <c r="M204" s="12"/>
    </row>
    <row r="205" spans="1:13" ht="15.2" customHeight="1" x14ac:dyDescent="0.2">
      <c r="A205" s="6" t="s">
        <v>481</v>
      </c>
      <c r="B205" s="7" t="s">
        <v>482</v>
      </c>
      <c r="C205" s="8">
        <v>1</v>
      </c>
      <c r="D205" s="9">
        <v>22.12</v>
      </c>
      <c r="E205" s="9">
        <v>22.12</v>
      </c>
      <c r="F205" s="10">
        <v>59</v>
      </c>
      <c r="G205" s="9">
        <v>59</v>
      </c>
      <c r="H205" s="8">
        <v>7066641</v>
      </c>
      <c r="I205" s="7" t="s">
        <v>3381</v>
      </c>
      <c r="J205" s="11" t="s">
        <v>3220</v>
      </c>
      <c r="K205" s="7" t="s">
        <v>3487</v>
      </c>
      <c r="L205" s="7" t="s">
        <v>3488</v>
      </c>
      <c r="M205" s="12"/>
    </row>
    <row r="206" spans="1:13" ht="15.2" customHeight="1" x14ac:dyDescent="0.2">
      <c r="A206" s="6" t="s">
        <v>2299</v>
      </c>
      <c r="B206" s="7" t="s">
        <v>2300</v>
      </c>
      <c r="C206" s="8">
        <v>1</v>
      </c>
      <c r="D206" s="9">
        <v>22</v>
      </c>
      <c r="E206" s="9">
        <v>22</v>
      </c>
      <c r="F206" s="10">
        <v>69</v>
      </c>
      <c r="G206" s="9">
        <v>69</v>
      </c>
      <c r="H206" s="8" t="s">
        <v>4014</v>
      </c>
      <c r="I206" s="7" t="s">
        <v>3490</v>
      </c>
      <c r="J206" s="11" t="s">
        <v>3340</v>
      </c>
      <c r="K206" s="7" t="s">
        <v>3205</v>
      </c>
      <c r="L206" s="7" t="s">
        <v>3206</v>
      </c>
      <c r="M206" s="12"/>
    </row>
    <row r="207" spans="1:13" ht="15.2" customHeight="1" x14ac:dyDescent="0.2">
      <c r="A207" s="6" t="s">
        <v>483</v>
      </c>
      <c r="B207" s="7" t="s">
        <v>484</v>
      </c>
      <c r="C207" s="8">
        <v>1</v>
      </c>
      <c r="D207" s="9">
        <v>21.88</v>
      </c>
      <c r="E207" s="9">
        <v>21.88</v>
      </c>
      <c r="F207" s="10">
        <v>59.99</v>
      </c>
      <c r="G207" s="9">
        <v>59.99</v>
      </c>
      <c r="H207" s="8" t="s">
        <v>1737</v>
      </c>
      <c r="I207" s="7" t="s">
        <v>3252</v>
      </c>
      <c r="J207" s="11" t="s">
        <v>3186</v>
      </c>
      <c r="K207" s="7" t="s">
        <v>3221</v>
      </c>
      <c r="L207" s="7" t="s">
        <v>3224</v>
      </c>
      <c r="M207" s="12"/>
    </row>
    <row r="208" spans="1:13" ht="15.2" customHeight="1" x14ac:dyDescent="0.2">
      <c r="A208" s="6" t="s">
        <v>2872</v>
      </c>
      <c r="B208" s="7" t="s">
        <v>2873</v>
      </c>
      <c r="C208" s="8">
        <v>1</v>
      </c>
      <c r="D208" s="9">
        <v>21.86</v>
      </c>
      <c r="E208" s="9">
        <v>21.86</v>
      </c>
      <c r="F208" s="10">
        <v>59.99</v>
      </c>
      <c r="G208" s="9">
        <v>59.99</v>
      </c>
      <c r="H208" s="8" t="s">
        <v>2874</v>
      </c>
      <c r="I208" s="7" t="s">
        <v>3203</v>
      </c>
      <c r="J208" s="11" t="s">
        <v>3236</v>
      </c>
      <c r="K208" s="7" t="s">
        <v>3221</v>
      </c>
      <c r="L208" s="7" t="s">
        <v>3224</v>
      </c>
      <c r="M208" s="12"/>
    </row>
    <row r="209" spans="1:13" ht="15.2" customHeight="1" x14ac:dyDescent="0.2">
      <c r="A209" s="6" t="s">
        <v>485</v>
      </c>
      <c r="B209" s="7" t="s">
        <v>486</v>
      </c>
      <c r="C209" s="8">
        <v>1</v>
      </c>
      <c r="D209" s="9">
        <v>21.12</v>
      </c>
      <c r="E209" s="9">
        <v>21.12</v>
      </c>
      <c r="F209" s="10">
        <v>59.5</v>
      </c>
      <c r="G209" s="9">
        <v>59.5</v>
      </c>
      <c r="H209" s="8" t="s">
        <v>1621</v>
      </c>
      <c r="I209" s="7" t="s">
        <v>3191</v>
      </c>
      <c r="J209" s="11"/>
      <c r="K209" s="7" t="s">
        <v>3193</v>
      </c>
      <c r="L209" s="7" t="s">
        <v>3254</v>
      </c>
      <c r="M209" s="12"/>
    </row>
    <row r="210" spans="1:13" ht="15.2" customHeight="1" x14ac:dyDescent="0.2">
      <c r="A210" s="6" t="s">
        <v>2001</v>
      </c>
      <c r="B210" s="7" t="s">
        <v>2002</v>
      </c>
      <c r="C210" s="8">
        <v>1</v>
      </c>
      <c r="D210" s="9">
        <v>21.12</v>
      </c>
      <c r="E210" s="9">
        <v>21.12</v>
      </c>
      <c r="F210" s="10">
        <v>59.5</v>
      </c>
      <c r="G210" s="9">
        <v>59.5</v>
      </c>
      <c r="H210" s="8" t="s">
        <v>1621</v>
      </c>
      <c r="I210" s="7" t="s">
        <v>3234</v>
      </c>
      <c r="J210" s="11" t="s">
        <v>3229</v>
      </c>
      <c r="K210" s="7" t="s">
        <v>3193</v>
      </c>
      <c r="L210" s="7" t="s">
        <v>3254</v>
      </c>
      <c r="M210" s="12"/>
    </row>
    <row r="211" spans="1:13" ht="15.2" customHeight="1" x14ac:dyDescent="0.2">
      <c r="A211" s="6" t="s">
        <v>2005</v>
      </c>
      <c r="B211" s="7" t="s">
        <v>2006</v>
      </c>
      <c r="C211" s="8">
        <v>1</v>
      </c>
      <c r="D211" s="9">
        <v>20</v>
      </c>
      <c r="E211" s="9">
        <v>20</v>
      </c>
      <c r="F211" s="10">
        <v>49.99</v>
      </c>
      <c r="G211" s="9">
        <v>49.99</v>
      </c>
      <c r="H211" s="8" t="s">
        <v>4016</v>
      </c>
      <c r="I211" s="7" t="s">
        <v>3234</v>
      </c>
      <c r="J211" s="11" t="s">
        <v>3204</v>
      </c>
      <c r="K211" s="7" t="s">
        <v>3241</v>
      </c>
      <c r="L211" s="7" t="s">
        <v>3206</v>
      </c>
      <c r="M211" s="12"/>
    </row>
    <row r="212" spans="1:13" ht="15.2" customHeight="1" x14ac:dyDescent="0.2">
      <c r="A212" s="6" t="s">
        <v>487</v>
      </c>
      <c r="B212" s="7" t="s">
        <v>488</v>
      </c>
      <c r="C212" s="8">
        <v>1</v>
      </c>
      <c r="D212" s="9">
        <v>20</v>
      </c>
      <c r="E212" s="9">
        <v>20</v>
      </c>
      <c r="F212" s="10">
        <v>41.99</v>
      </c>
      <c r="G212" s="9">
        <v>41.99</v>
      </c>
      <c r="H212" s="8" t="s">
        <v>4017</v>
      </c>
      <c r="I212" s="7" t="s">
        <v>3185</v>
      </c>
      <c r="J212" s="11" t="s">
        <v>3202</v>
      </c>
      <c r="K212" s="7" t="s">
        <v>3241</v>
      </c>
      <c r="L212" s="7" t="s">
        <v>3776</v>
      </c>
      <c r="M212" s="12"/>
    </row>
    <row r="213" spans="1:13" ht="15.2" customHeight="1" x14ac:dyDescent="0.2">
      <c r="A213" s="6" t="s">
        <v>489</v>
      </c>
      <c r="B213" s="7" t="s">
        <v>490</v>
      </c>
      <c r="C213" s="8">
        <v>1</v>
      </c>
      <c r="D213" s="9">
        <v>20</v>
      </c>
      <c r="E213" s="9">
        <v>20</v>
      </c>
      <c r="F213" s="10">
        <v>49.99</v>
      </c>
      <c r="G213" s="9">
        <v>49.99</v>
      </c>
      <c r="H213" s="8" t="s">
        <v>4016</v>
      </c>
      <c r="I213" s="7" t="s">
        <v>3234</v>
      </c>
      <c r="J213" s="11" t="s">
        <v>3340</v>
      </c>
      <c r="K213" s="7" t="s">
        <v>3241</v>
      </c>
      <c r="L213" s="7" t="s">
        <v>3206</v>
      </c>
      <c r="M213" s="12"/>
    </row>
    <row r="214" spans="1:13" ht="15.2" customHeight="1" x14ac:dyDescent="0.2">
      <c r="A214" s="6" t="s">
        <v>491</v>
      </c>
      <c r="B214" s="7" t="s">
        <v>492</v>
      </c>
      <c r="C214" s="8">
        <v>1</v>
      </c>
      <c r="D214" s="9">
        <v>20</v>
      </c>
      <c r="E214" s="9">
        <v>20</v>
      </c>
      <c r="F214" s="10">
        <v>41.99</v>
      </c>
      <c r="G214" s="9">
        <v>41.99</v>
      </c>
      <c r="H214" s="8" t="s">
        <v>4017</v>
      </c>
      <c r="I214" s="7" t="s">
        <v>3185</v>
      </c>
      <c r="J214" s="11" t="s">
        <v>3236</v>
      </c>
      <c r="K214" s="7" t="s">
        <v>3241</v>
      </c>
      <c r="L214" s="7" t="s">
        <v>3776</v>
      </c>
      <c r="M214" s="12"/>
    </row>
    <row r="215" spans="1:13" ht="15.2" customHeight="1" x14ac:dyDescent="0.2">
      <c r="A215" s="6" t="s">
        <v>2003</v>
      </c>
      <c r="B215" s="7" t="s">
        <v>2004</v>
      </c>
      <c r="C215" s="8">
        <v>1</v>
      </c>
      <c r="D215" s="9">
        <v>20</v>
      </c>
      <c r="E215" s="9">
        <v>20</v>
      </c>
      <c r="F215" s="10">
        <v>49.99</v>
      </c>
      <c r="G215" s="9">
        <v>49.99</v>
      </c>
      <c r="H215" s="8" t="s">
        <v>3761</v>
      </c>
      <c r="I215" s="7" t="s">
        <v>3394</v>
      </c>
      <c r="J215" s="11" t="s">
        <v>3240</v>
      </c>
      <c r="K215" s="7" t="s">
        <v>3241</v>
      </c>
      <c r="L215" s="7" t="s">
        <v>3206</v>
      </c>
      <c r="M215" s="12"/>
    </row>
    <row r="216" spans="1:13" ht="15.2" customHeight="1" x14ac:dyDescent="0.2">
      <c r="A216" s="6" t="s">
        <v>493</v>
      </c>
      <c r="B216" s="7" t="s">
        <v>494</v>
      </c>
      <c r="C216" s="8">
        <v>1</v>
      </c>
      <c r="D216" s="9">
        <v>20</v>
      </c>
      <c r="E216" s="9">
        <v>20</v>
      </c>
      <c r="F216" s="10">
        <v>69</v>
      </c>
      <c r="G216" s="9">
        <v>69</v>
      </c>
      <c r="H216" s="8" t="s">
        <v>495</v>
      </c>
      <c r="I216" s="7" t="s">
        <v>3381</v>
      </c>
      <c r="J216" s="11" t="s">
        <v>3340</v>
      </c>
      <c r="K216" s="7" t="s">
        <v>3205</v>
      </c>
      <c r="L216" s="7" t="s">
        <v>3632</v>
      </c>
      <c r="M216" s="12"/>
    </row>
    <row r="217" spans="1:13" ht="15.2" customHeight="1" x14ac:dyDescent="0.2">
      <c r="A217" s="6" t="s">
        <v>496</v>
      </c>
      <c r="B217" s="7" t="s">
        <v>497</v>
      </c>
      <c r="C217" s="8">
        <v>1</v>
      </c>
      <c r="D217" s="9">
        <v>19.04</v>
      </c>
      <c r="E217" s="9">
        <v>19.04</v>
      </c>
      <c r="F217" s="10">
        <v>59.5</v>
      </c>
      <c r="G217" s="9">
        <v>59.5</v>
      </c>
      <c r="H217" s="8">
        <v>49022844</v>
      </c>
      <c r="I217" s="7" t="s">
        <v>3416</v>
      </c>
      <c r="J217" s="11" t="s">
        <v>3302</v>
      </c>
      <c r="K217" s="7" t="s">
        <v>3187</v>
      </c>
      <c r="L217" s="7" t="s">
        <v>3188</v>
      </c>
      <c r="M217" s="12"/>
    </row>
    <row r="218" spans="1:13" ht="15.2" customHeight="1" x14ac:dyDescent="0.2">
      <c r="A218" s="6" t="s">
        <v>498</v>
      </c>
      <c r="B218" s="7" t="s">
        <v>499</v>
      </c>
      <c r="C218" s="8">
        <v>1</v>
      </c>
      <c r="D218" s="9">
        <v>18.75</v>
      </c>
      <c r="E218" s="9">
        <v>18.75</v>
      </c>
      <c r="F218" s="10">
        <v>59</v>
      </c>
      <c r="G218" s="9">
        <v>59</v>
      </c>
      <c r="H218" s="8" t="s">
        <v>2007</v>
      </c>
      <c r="I218" s="7" t="s">
        <v>3185</v>
      </c>
      <c r="J218" s="11" t="s">
        <v>3186</v>
      </c>
      <c r="K218" s="7" t="s">
        <v>3205</v>
      </c>
      <c r="L218" s="7" t="s">
        <v>2356</v>
      </c>
      <c r="M218" s="12"/>
    </row>
    <row r="219" spans="1:13" ht="15.2" customHeight="1" x14ac:dyDescent="0.2">
      <c r="A219" s="6" t="s">
        <v>500</v>
      </c>
      <c r="B219" s="7" t="s">
        <v>501</v>
      </c>
      <c r="C219" s="8">
        <v>1</v>
      </c>
      <c r="D219" s="9">
        <v>17.5</v>
      </c>
      <c r="E219" s="9">
        <v>17.5</v>
      </c>
      <c r="F219" s="10">
        <v>44.99</v>
      </c>
      <c r="G219" s="9">
        <v>44.99</v>
      </c>
      <c r="H219" s="8" t="s">
        <v>502</v>
      </c>
      <c r="I219" s="7" t="s">
        <v>2380</v>
      </c>
      <c r="J219" s="11" t="s">
        <v>3202</v>
      </c>
      <c r="K219" s="7" t="s">
        <v>3241</v>
      </c>
      <c r="L219" s="7" t="s">
        <v>3261</v>
      </c>
      <c r="M219" s="12"/>
    </row>
    <row r="220" spans="1:13" ht="15.2" customHeight="1" x14ac:dyDescent="0.2">
      <c r="A220" s="6" t="s">
        <v>503</v>
      </c>
      <c r="B220" s="7" t="s">
        <v>504</v>
      </c>
      <c r="C220" s="8">
        <v>1</v>
      </c>
      <c r="D220" s="9">
        <v>17.25</v>
      </c>
      <c r="E220" s="9">
        <v>17.25</v>
      </c>
      <c r="F220" s="10">
        <v>49</v>
      </c>
      <c r="G220" s="9">
        <v>49</v>
      </c>
      <c r="H220" s="8" t="s">
        <v>2072</v>
      </c>
      <c r="I220" s="7" t="s">
        <v>3216</v>
      </c>
      <c r="J220" s="11" t="s">
        <v>3310</v>
      </c>
      <c r="K220" s="7" t="s">
        <v>3217</v>
      </c>
      <c r="L220" s="7" t="s">
        <v>3218</v>
      </c>
      <c r="M220" s="12"/>
    </row>
    <row r="221" spans="1:13" ht="15.2" customHeight="1" x14ac:dyDescent="0.2">
      <c r="A221" s="6" t="s">
        <v>505</v>
      </c>
      <c r="B221" s="7" t="s">
        <v>3770</v>
      </c>
      <c r="C221" s="8">
        <v>1</v>
      </c>
      <c r="D221" s="9">
        <v>17</v>
      </c>
      <c r="E221" s="9">
        <v>17</v>
      </c>
      <c r="F221" s="10">
        <v>41.99</v>
      </c>
      <c r="G221" s="9">
        <v>41.99</v>
      </c>
      <c r="H221" s="8" t="s">
        <v>3771</v>
      </c>
      <c r="I221" s="7" t="s">
        <v>3185</v>
      </c>
      <c r="J221" s="11" t="s">
        <v>3186</v>
      </c>
      <c r="K221" s="7" t="s">
        <v>3241</v>
      </c>
      <c r="L221" s="7" t="s">
        <v>3296</v>
      </c>
      <c r="M221" s="12"/>
    </row>
    <row r="222" spans="1:13" ht="15.2" customHeight="1" x14ac:dyDescent="0.2">
      <c r="A222" s="6" t="s">
        <v>3514</v>
      </c>
      <c r="B222" s="7" t="s">
        <v>3515</v>
      </c>
      <c r="C222" s="8">
        <v>1</v>
      </c>
      <c r="D222" s="9">
        <v>16.739999999999998</v>
      </c>
      <c r="E222" s="9">
        <v>16.739999999999998</v>
      </c>
      <c r="F222" s="10">
        <v>49</v>
      </c>
      <c r="G222" s="9">
        <v>49</v>
      </c>
      <c r="H222" s="8" t="s">
        <v>3516</v>
      </c>
      <c r="I222" s="7" t="s">
        <v>3185</v>
      </c>
      <c r="J222" s="11" t="s">
        <v>3202</v>
      </c>
      <c r="K222" s="7" t="s">
        <v>3517</v>
      </c>
      <c r="L222" s="7" t="s">
        <v>3518</v>
      </c>
      <c r="M222" s="12"/>
    </row>
    <row r="223" spans="1:13" ht="15.2" customHeight="1" x14ac:dyDescent="0.2">
      <c r="A223" s="6" t="s">
        <v>1444</v>
      </c>
      <c r="B223" s="7" t="s">
        <v>1445</v>
      </c>
      <c r="C223" s="8">
        <v>1</v>
      </c>
      <c r="D223" s="9">
        <v>16.5</v>
      </c>
      <c r="E223" s="9">
        <v>16.5</v>
      </c>
      <c r="F223" s="10">
        <v>39.99</v>
      </c>
      <c r="G223" s="9">
        <v>39.99</v>
      </c>
      <c r="H223" s="8" t="s">
        <v>4347</v>
      </c>
      <c r="I223" s="7" t="s">
        <v>3681</v>
      </c>
      <c r="J223" s="11" t="s">
        <v>3186</v>
      </c>
      <c r="K223" s="7" t="s">
        <v>3241</v>
      </c>
      <c r="L223" s="7" t="s">
        <v>3261</v>
      </c>
      <c r="M223" s="12"/>
    </row>
    <row r="224" spans="1:13" ht="15.2" customHeight="1" x14ac:dyDescent="0.2">
      <c r="A224" s="6" t="s">
        <v>506</v>
      </c>
      <c r="B224" s="7" t="s">
        <v>507</v>
      </c>
      <c r="C224" s="8">
        <v>1</v>
      </c>
      <c r="D224" s="9">
        <v>16.5</v>
      </c>
      <c r="E224" s="9">
        <v>16.5</v>
      </c>
      <c r="F224" s="10">
        <v>59</v>
      </c>
      <c r="G224" s="9">
        <v>59</v>
      </c>
      <c r="H224" s="8" t="s">
        <v>508</v>
      </c>
      <c r="I224" s="7" t="s">
        <v>3321</v>
      </c>
      <c r="J224" s="11" t="s">
        <v>3186</v>
      </c>
      <c r="K224" s="7" t="s">
        <v>3205</v>
      </c>
      <c r="L224" s="7" t="s">
        <v>3261</v>
      </c>
      <c r="M224" s="12"/>
    </row>
    <row r="225" spans="1:13" ht="15.2" customHeight="1" x14ac:dyDescent="0.2">
      <c r="A225" s="6" t="s">
        <v>4167</v>
      </c>
      <c r="B225" s="7" t="s">
        <v>4168</v>
      </c>
      <c r="C225" s="8">
        <v>1</v>
      </c>
      <c r="D225" s="9">
        <v>16.329999999999998</v>
      </c>
      <c r="E225" s="9">
        <v>16.329999999999998</v>
      </c>
      <c r="F225" s="10">
        <v>44.5</v>
      </c>
      <c r="G225" s="9">
        <v>44.5</v>
      </c>
      <c r="H225" s="8" t="s">
        <v>3782</v>
      </c>
      <c r="I225" s="7" t="s">
        <v>3185</v>
      </c>
      <c r="J225" s="11" t="s">
        <v>3186</v>
      </c>
      <c r="K225" s="7" t="s">
        <v>3232</v>
      </c>
      <c r="L225" s="7" t="s">
        <v>3233</v>
      </c>
      <c r="M225" s="12"/>
    </row>
    <row r="226" spans="1:13" ht="15.2" customHeight="1" x14ac:dyDescent="0.2">
      <c r="A226" s="6" t="s">
        <v>509</v>
      </c>
      <c r="B226" s="7" t="s">
        <v>510</v>
      </c>
      <c r="C226" s="8">
        <v>1</v>
      </c>
      <c r="D226" s="9">
        <v>16</v>
      </c>
      <c r="E226" s="9">
        <v>16</v>
      </c>
      <c r="F226" s="10">
        <v>34.99</v>
      </c>
      <c r="G226" s="9">
        <v>34.99</v>
      </c>
      <c r="H226" s="8" t="s">
        <v>2008</v>
      </c>
      <c r="I226" s="7" t="s">
        <v>3376</v>
      </c>
      <c r="J226" s="11" t="s">
        <v>3220</v>
      </c>
      <c r="K226" s="7" t="s">
        <v>3334</v>
      </c>
      <c r="L226" s="7" t="s">
        <v>3324</v>
      </c>
      <c r="M226" s="12"/>
    </row>
    <row r="227" spans="1:13" ht="15.2" customHeight="1" x14ac:dyDescent="0.2">
      <c r="A227" s="6" t="s">
        <v>511</v>
      </c>
      <c r="B227" s="7" t="s">
        <v>512</v>
      </c>
      <c r="C227" s="8">
        <v>1</v>
      </c>
      <c r="D227" s="9">
        <v>16</v>
      </c>
      <c r="E227" s="9">
        <v>16</v>
      </c>
      <c r="F227" s="10">
        <v>34.99</v>
      </c>
      <c r="G227" s="9">
        <v>34.99</v>
      </c>
      <c r="H227" s="8" t="s">
        <v>2008</v>
      </c>
      <c r="I227" s="7" t="s">
        <v>3376</v>
      </c>
      <c r="J227" s="11" t="s">
        <v>3186</v>
      </c>
      <c r="K227" s="7" t="s">
        <v>3334</v>
      </c>
      <c r="L227" s="7" t="s">
        <v>3324</v>
      </c>
      <c r="M227" s="12"/>
    </row>
    <row r="228" spans="1:13" ht="15.2" customHeight="1" x14ac:dyDescent="0.2">
      <c r="A228" s="6" t="s">
        <v>1816</v>
      </c>
      <c r="B228" s="7" t="s">
        <v>1817</v>
      </c>
      <c r="C228" s="8">
        <v>1</v>
      </c>
      <c r="D228" s="9">
        <v>16</v>
      </c>
      <c r="E228" s="9">
        <v>16</v>
      </c>
      <c r="F228" s="10">
        <v>59</v>
      </c>
      <c r="G228" s="9">
        <v>59</v>
      </c>
      <c r="H228" s="8" t="s">
        <v>3522</v>
      </c>
      <c r="I228" s="7" t="s">
        <v>3203</v>
      </c>
      <c r="J228" s="11" t="s">
        <v>3229</v>
      </c>
      <c r="K228" s="7" t="s">
        <v>3281</v>
      </c>
      <c r="L228" s="7" t="s">
        <v>3521</v>
      </c>
      <c r="M228" s="12"/>
    </row>
    <row r="229" spans="1:13" ht="15.2" customHeight="1" x14ac:dyDescent="0.2">
      <c r="A229" s="6" t="s">
        <v>513</v>
      </c>
      <c r="B229" s="7" t="s">
        <v>514</v>
      </c>
      <c r="C229" s="8">
        <v>1</v>
      </c>
      <c r="D229" s="9">
        <v>14.5</v>
      </c>
      <c r="E229" s="9">
        <v>14.5</v>
      </c>
      <c r="F229" s="10">
        <v>29.99</v>
      </c>
      <c r="G229" s="9">
        <v>29.99</v>
      </c>
      <c r="H229" s="8" t="s">
        <v>2009</v>
      </c>
      <c r="I229" s="7" t="s">
        <v>3210</v>
      </c>
      <c r="J229" s="11" t="s">
        <v>3338</v>
      </c>
      <c r="K229" s="7" t="s">
        <v>3326</v>
      </c>
      <c r="L229" s="7" t="s">
        <v>3550</v>
      </c>
      <c r="M229" s="12"/>
    </row>
    <row r="230" spans="1:13" ht="15.2" customHeight="1" x14ac:dyDescent="0.2">
      <c r="A230" s="6" t="s">
        <v>3538</v>
      </c>
      <c r="B230" s="7" t="s">
        <v>3539</v>
      </c>
      <c r="C230" s="8">
        <v>1</v>
      </c>
      <c r="D230" s="9">
        <v>14.42</v>
      </c>
      <c r="E230" s="9">
        <v>14.42</v>
      </c>
      <c r="F230" s="10">
        <v>39.5</v>
      </c>
      <c r="G230" s="9">
        <v>39.5</v>
      </c>
      <c r="H230" s="8" t="s">
        <v>3534</v>
      </c>
      <c r="I230" s="7" t="s">
        <v>3228</v>
      </c>
      <c r="J230" s="11" t="s">
        <v>3231</v>
      </c>
      <c r="K230" s="7" t="s">
        <v>3221</v>
      </c>
      <c r="L230" s="7" t="s">
        <v>3224</v>
      </c>
      <c r="M230" s="12"/>
    </row>
    <row r="231" spans="1:13" ht="15.2" customHeight="1" x14ac:dyDescent="0.2">
      <c r="A231" s="6" t="s">
        <v>515</v>
      </c>
      <c r="B231" s="7" t="s">
        <v>3530</v>
      </c>
      <c r="C231" s="8">
        <v>1</v>
      </c>
      <c r="D231" s="9">
        <v>14.42</v>
      </c>
      <c r="E231" s="9">
        <v>14.42</v>
      </c>
      <c r="F231" s="10">
        <v>39.5</v>
      </c>
      <c r="G231" s="9">
        <v>39.5</v>
      </c>
      <c r="H231" s="8" t="s">
        <v>3531</v>
      </c>
      <c r="I231" s="7" t="s">
        <v>3203</v>
      </c>
      <c r="J231" s="11" t="s">
        <v>3220</v>
      </c>
      <c r="K231" s="7" t="s">
        <v>3221</v>
      </c>
      <c r="L231" s="7" t="s">
        <v>3224</v>
      </c>
      <c r="M231" s="12"/>
    </row>
    <row r="232" spans="1:13" ht="15.2" customHeight="1" x14ac:dyDescent="0.2">
      <c r="A232" s="6" t="s">
        <v>4357</v>
      </c>
      <c r="B232" s="7" t="s">
        <v>3530</v>
      </c>
      <c r="C232" s="8">
        <v>1</v>
      </c>
      <c r="D232" s="9">
        <v>14.42</v>
      </c>
      <c r="E232" s="9">
        <v>14.42</v>
      </c>
      <c r="F232" s="10">
        <v>39.5</v>
      </c>
      <c r="G232" s="9">
        <v>39.5</v>
      </c>
      <c r="H232" s="8" t="s">
        <v>3531</v>
      </c>
      <c r="I232" s="7" t="s">
        <v>3386</v>
      </c>
      <c r="J232" s="11" t="s">
        <v>3202</v>
      </c>
      <c r="K232" s="7" t="s">
        <v>3221</v>
      </c>
      <c r="L232" s="7" t="s">
        <v>3224</v>
      </c>
      <c r="M232" s="12"/>
    </row>
    <row r="233" spans="1:13" ht="15.2" customHeight="1" x14ac:dyDescent="0.2">
      <c r="A233" s="6" t="s">
        <v>516</v>
      </c>
      <c r="B233" s="7" t="s">
        <v>517</v>
      </c>
      <c r="C233" s="8">
        <v>1</v>
      </c>
      <c r="D233" s="9">
        <v>14.42</v>
      </c>
      <c r="E233" s="9">
        <v>14.42</v>
      </c>
      <c r="F233" s="10">
        <v>39.5</v>
      </c>
      <c r="G233" s="9">
        <v>39.5</v>
      </c>
      <c r="H233" s="8" t="s">
        <v>2073</v>
      </c>
      <c r="I233" s="7" t="s">
        <v>3185</v>
      </c>
      <c r="J233" s="11" t="s">
        <v>3231</v>
      </c>
      <c r="K233" s="7" t="s">
        <v>3221</v>
      </c>
      <c r="L233" s="7" t="s">
        <v>3253</v>
      </c>
      <c r="M233" s="12"/>
    </row>
    <row r="234" spans="1:13" ht="15.2" customHeight="1" x14ac:dyDescent="0.2">
      <c r="A234" s="6" t="s">
        <v>4173</v>
      </c>
      <c r="B234" s="7" t="s">
        <v>3541</v>
      </c>
      <c r="C234" s="8">
        <v>1</v>
      </c>
      <c r="D234" s="9">
        <v>14.42</v>
      </c>
      <c r="E234" s="9">
        <v>14.42</v>
      </c>
      <c r="F234" s="10">
        <v>39.5</v>
      </c>
      <c r="G234" s="9">
        <v>39.5</v>
      </c>
      <c r="H234" s="8" t="s">
        <v>3542</v>
      </c>
      <c r="I234" s="7" t="s">
        <v>3182</v>
      </c>
      <c r="J234" s="11" t="s">
        <v>3186</v>
      </c>
      <c r="K234" s="7" t="s">
        <v>3221</v>
      </c>
      <c r="L234" s="7" t="s">
        <v>3250</v>
      </c>
      <c r="M234" s="12"/>
    </row>
    <row r="235" spans="1:13" ht="15.2" customHeight="1" x14ac:dyDescent="0.2">
      <c r="A235" s="6" t="s">
        <v>518</v>
      </c>
      <c r="B235" s="7" t="s">
        <v>1915</v>
      </c>
      <c r="C235" s="8">
        <v>1</v>
      </c>
      <c r="D235" s="9">
        <v>14.4</v>
      </c>
      <c r="E235" s="9">
        <v>14.4</v>
      </c>
      <c r="F235" s="10">
        <v>39.5</v>
      </c>
      <c r="G235" s="9">
        <v>39.5</v>
      </c>
      <c r="H235" s="8" t="s">
        <v>1916</v>
      </c>
      <c r="I235" s="7" t="s">
        <v>3252</v>
      </c>
      <c r="J235" s="11" t="s">
        <v>3236</v>
      </c>
      <c r="K235" s="7" t="s">
        <v>3221</v>
      </c>
      <c r="L235" s="7" t="s">
        <v>3224</v>
      </c>
      <c r="M235" s="12"/>
    </row>
    <row r="236" spans="1:13" ht="15.2" customHeight="1" x14ac:dyDescent="0.2">
      <c r="A236" s="6" t="s">
        <v>519</v>
      </c>
      <c r="B236" s="7" t="s">
        <v>520</v>
      </c>
      <c r="C236" s="8">
        <v>1</v>
      </c>
      <c r="D236" s="9">
        <v>14.25</v>
      </c>
      <c r="E236" s="9">
        <v>14.25</v>
      </c>
      <c r="F236" s="10">
        <v>29.99</v>
      </c>
      <c r="G236" s="9">
        <v>29.99</v>
      </c>
      <c r="H236" s="8" t="s">
        <v>3549</v>
      </c>
      <c r="I236" s="7" t="s">
        <v>3234</v>
      </c>
      <c r="J236" s="11" t="s">
        <v>3204</v>
      </c>
      <c r="K236" s="7" t="s">
        <v>3326</v>
      </c>
      <c r="L236" s="7" t="s">
        <v>3550</v>
      </c>
      <c r="M236" s="12"/>
    </row>
    <row r="237" spans="1:13" ht="15.2" customHeight="1" x14ac:dyDescent="0.2">
      <c r="A237" s="6" t="s">
        <v>4359</v>
      </c>
      <c r="B237" s="7" t="s">
        <v>4360</v>
      </c>
      <c r="C237" s="8">
        <v>1</v>
      </c>
      <c r="D237" s="9">
        <v>14.25</v>
      </c>
      <c r="E237" s="9">
        <v>14.25</v>
      </c>
      <c r="F237" s="10">
        <v>29.99</v>
      </c>
      <c r="G237" s="9">
        <v>29.99</v>
      </c>
      <c r="H237" s="8" t="s">
        <v>4361</v>
      </c>
      <c r="I237" s="7" t="s">
        <v>3191</v>
      </c>
      <c r="J237" s="11" t="s">
        <v>3240</v>
      </c>
      <c r="K237" s="7" t="s">
        <v>3326</v>
      </c>
      <c r="L237" s="7" t="s">
        <v>3550</v>
      </c>
      <c r="M237" s="12"/>
    </row>
    <row r="238" spans="1:13" ht="15.2" customHeight="1" x14ac:dyDescent="0.2">
      <c r="A238" s="6" t="s">
        <v>1818</v>
      </c>
      <c r="B238" s="7" t="s">
        <v>1819</v>
      </c>
      <c r="C238" s="8">
        <v>1</v>
      </c>
      <c r="D238" s="9">
        <v>14.25</v>
      </c>
      <c r="E238" s="9">
        <v>14.25</v>
      </c>
      <c r="F238" s="10">
        <v>29.99</v>
      </c>
      <c r="G238" s="9">
        <v>29.99</v>
      </c>
      <c r="H238" s="8" t="s">
        <v>4362</v>
      </c>
      <c r="I238" s="7" t="s">
        <v>3681</v>
      </c>
      <c r="J238" s="11" t="s">
        <v>3331</v>
      </c>
      <c r="K238" s="7" t="s">
        <v>3326</v>
      </c>
      <c r="L238" s="7" t="s">
        <v>3550</v>
      </c>
      <c r="M238" s="12"/>
    </row>
    <row r="239" spans="1:13" ht="15.2" customHeight="1" x14ac:dyDescent="0.2">
      <c r="A239" s="6" t="s">
        <v>521</v>
      </c>
      <c r="B239" s="7" t="s">
        <v>522</v>
      </c>
      <c r="C239" s="8">
        <v>1</v>
      </c>
      <c r="D239" s="9">
        <v>14.25</v>
      </c>
      <c r="E239" s="9">
        <v>14.25</v>
      </c>
      <c r="F239" s="10">
        <v>29.99</v>
      </c>
      <c r="G239" s="9">
        <v>29.99</v>
      </c>
      <c r="H239" s="8" t="s">
        <v>3549</v>
      </c>
      <c r="I239" s="7" t="s">
        <v>3234</v>
      </c>
      <c r="J239" s="11" t="s">
        <v>3340</v>
      </c>
      <c r="K239" s="7" t="s">
        <v>3326</v>
      </c>
      <c r="L239" s="7" t="s">
        <v>3550</v>
      </c>
      <c r="M239" s="12"/>
    </row>
    <row r="240" spans="1:13" ht="15.2" customHeight="1" x14ac:dyDescent="0.2">
      <c r="A240" s="6" t="s">
        <v>523</v>
      </c>
      <c r="B240" s="7" t="s">
        <v>524</v>
      </c>
      <c r="C240" s="8">
        <v>1</v>
      </c>
      <c r="D240" s="9">
        <v>14.25</v>
      </c>
      <c r="E240" s="9">
        <v>14.25</v>
      </c>
      <c r="F240" s="10">
        <v>29.99</v>
      </c>
      <c r="G240" s="9">
        <v>29.99</v>
      </c>
      <c r="H240" s="8" t="s">
        <v>4362</v>
      </c>
      <c r="I240" s="7" t="s">
        <v>3681</v>
      </c>
      <c r="J240" s="11" t="s">
        <v>3240</v>
      </c>
      <c r="K240" s="7" t="s">
        <v>3326</v>
      </c>
      <c r="L240" s="7" t="s">
        <v>3550</v>
      </c>
      <c r="M240" s="12"/>
    </row>
    <row r="241" spans="1:13" ht="15.2" customHeight="1" x14ac:dyDescent="0.2">
      <c r="A241" s="6" t="s">
        <v>525</v>
      </c>
      <c r="B241" s="7" t="s">
        <v>526</v>
      </c>
      <c r="C241" s="8">
        <v>1</v>
      </c>
      <c r="D241" s="9">
        <v>13.25</v>
      </c>
      <c r="E241" s="9">
        <v>13.25</v>
      </c>
      <c r="F241" s="10">
        <v>29.99</v>
      </c>
      <c r="G241" s="9">
        <v>29.99</v>
      </c>
      <c r="H241" s="8" t="s">
        <v>527</v>
      </c>
      <c r="I241" s="7" t="s">
        <v>3234</v>
      </c>
      <c r="J241" s="11" t="s">
        <v>3340</v>
      </c>
      <c r="K241" s="7" t="s">
        <v>3326</v>
      </c>
      <c r="L241" s="7" t="s">
        <v>3868</v>
      </c>
      <c r="M241" s="12"/>
    </row>
    <row r="242" spans="1:13" ht="15.2" customHeight="1" x14ac:dyDescent="0.2">
      <c r="A242" s="6" t="s">
        <v>528</v>
      </c>
      <c r="B242" s="7" t="s">
        <v>529</v>
      </c>
      <c r="C242" s="8">
        <v>1</v>
      </c>
      <c r="D242" s="9">
        <v>13.05</v>
      </c>
      <c r="E242" s="9">
        <v>13.05</v>
      </c>
      <c r="F242" s="10">
        <v>34.99</v>
      </c>
      <c r="G242" s="9">
        <v>34.99</v>
      </c>
      <c r="H242" s="8" t="s">
        <v>1820</v>
      </c>
      <c r="I242" s="7" t="s">
        <v>3234</v>
      </c>
      <c r="J242" s="11" t="s">
        <v>3351</v>
      </c>
      <c r="K242" s="7" t="s">
        <v>3326</v>
      </c>
      <c r="L242" s="7" t="s">
        <v>3391</v>
      </c>
      <c r="M242" s="12"/>
    </row>
    <row r="243" spans="1:13" ht="15.2" customHeight="1" x14ac:dyDescent="0.2">
      <c r="A243" s="6" t="s">
        <v>530</v>
      </c>
      <c r="B243" s="7" t="s">
        <v>531</v>
      </c>
      <c r="C243" s="8">
        <v>1</v>
      </c>
      <c r="D243" s="9">
        <v>13.05</v>
      </c>
      <c r="E243" s="9">
        <v>13.05</v>
      </c>
      <c r="F243" s="10">
        <v>34.99</v>
      </c>
      <c r="G243" s="9">
        <v>34.99</v>
      </c>
      <c r="H243" s="8" t="s">
        <v>532</v>
      </c>
      <c r="I243" s="7" t="s">
        <v>3182</v>
      </c>
      <c r="J243" s="11" t="s">
        <v>3338</v>
      </c>
      <c r="K243" s="7" t="s">
        <v>3326</v>
      </c>
      <c r="L243" s="7" t="s">
        <v>3391</v>
      </c>
      <c r="M243" s="12"/>
    </row>
    <row r="244" spans="1:13" ht="15.2" customHeight="1" x14ac:dyDescent="0.2">
      <c r="A244" s="6" t="s">
        <v>533</v>
      </c>
      <c r="B244" s="7" t="s">
        <v>534</v>
      </c>
      <c r="C244" s="8">
        <v>1</v>
      </c>
      <c r="D244" s="9">
        <v>12.65</v>
      </c>
      <c r="E244" s="9">
        <v>12.65</v>
      </c>
      <c r="F244" s="10">
        <v>29</v>
      </c>
      <c r="G244" s="9">
        <v>29</v>
      </c>
      <c r="H244" s="8" t="s">
        <v>1823</v>
      </c>
      <c r="I244" s="7" t="s">
        <v>3182</v>
      </c>
      <c r="J244" s="11" t="s">
        <v>3338</v>
      </c>
      <c r="K244" s="7" t="s">
        <v>3326</v>
      </c>
      <c r="L244" s="7" t="s">
        <v>3693</v>
      </c>
      <c r="M244" s="12"/>
    </row>
    <row r="245" spans="1:13" ht="15.2" customHeight="1" x14ac:dyDescent="0.2">
      <c r="A245" s="6" t="s">
        <v>535</v>
      </c>
      <c r="B245" s="7" t="s">
        <v>536</v>
      </c>
      <c r="C245" s="8">
        <v>1</v>
      </c>
      <c r="D245" s="9">
        <v>12.5</v>
      </c>
      <c r="E245" s="9">
        <v>12.5</v>
      </c>
      <c r="F245" s="10">
        <v>27.99</v>
      </c>
      <c r="G245" s="9">
        <v>27.99</v>
      </c>
      <c r="H245" s="8" t="s">
        <v>1826</v>
      </c>
      <c r="I245" s="7" t="s">
        <v>3214</v>
      </c>
      <c r="J245" s="11" t="s">
        <v>3202</v>
      </c>
      <c r="K245" s="7" t="s">
        <v>3334</v>
      </c>
      <c r="L245" s="7" t="s">
        <v>3324</v>
      </c>
      <c r="M245" s="12"/>
    </row>
    <row r="246" spans="1:13" ht="15.2" customHeight="1" x14ac:dyDescent="0.2">
      <c r="A246" s="6" t="s">
        <v>537</v>
      </c>
      <c r="B246" s="7" t="s">
        <v>538</v>
      </c>
      <c r="C246" s="8">
        <v>1</v>
      </c>
      <c r="D246" s="9">
        <v>12.5</v>
      </c>
      <c r="E246" s="9">
        <v>12.5</v>
      </c>
      <c r="F246" s="10">
        <v>27.99</v>
      </c>
      <c r="G246" s="9">
        <v>27.99</v>
      </c>
      <c r="H246" s="8" t="s">
        <v>1826</v>
      </c>
      <c r="I246" s="7" t="s">
        <v>3214</v>
      </c>
      <c r="J246" s="11" t="s">
        <v>3242</v>
      </c>
      <c r="K246" s="7" t="s">
        <v>3334</v>
      </c>
      <c r="L246" s="7" t="s">
        <v>3324</v>
      </c>
      <c r="M246" s="12"/>
    </row>
    <row r="247" spans="1:13" ht="15.2" customHeight="1" x14ac:dyDescent="0.2">
      <c r="A247" s="6" t="s">
        <v>1921</v>
      </c>
      <c r="B247" s="7" t="s">
        <v>1922</v>
      </c>
      <c r="C247" s="8">
        <v>1</v>
      </c>
      <c r="D247" s="9">
        <v>12.5</v>
      </c>
      <c r="E247" s="9">
        <v>12.5</v>
      </c>
      <c r="F247" s="10">
        <v>29.99</v>
      </c>
      <c r="G247" s="9">
        <v>29.99</v>
      </c>
      <c r="H247" s="8" t="s">
        <v>1920</v>
      </c>
      <c r="I247" s="7" t="s">
        <v>3191</v>
      </c>
      <c r="J247" s="11" t="s">
        <v>3338</v>
      </c>
      <c r="K247" s="7" t="s">
        <v>3326</v>
      </c>
      <c r="L247" s="7" t="s">
        <v>3282</v>
      </c>
      <c r="M247" s="12"/>
    </row>
    <row r="248" spans="1:13" ht="15.2" customHeight="1" x14ac:dyDescent="0.2">
      <c r="A248" s="6" t="s">
        <v>539</v>
      </c>
      <c r="B248" s="7" t="s">
        <v>540</v>
      </c>
      <c r="C248" s="8">
        <v>1</v>
      </c>
      <c r="D248" s="9">
        <v>12.5</v>
      </c>
      <c r="E248" s="9">
        <v>12.5</v>
      </c>
      <c r="F248" s="10">
        <v>29.99</v>
      </c>
      <c r="G248" s="9">
        <v>29.99</v>
      </c>
      <c r="H248" s="8" t="s">
        <v>1920</v>
      </c>
      <c r="I248" s="7" t="s">
        <v>3191</v>
      </c>
      <c r="J248" s="11" t="s">
        <v>3271</v>
      </c>
      <c r="K248" s="7" t="s">
        <v>3326</v>
      </c>
      <c r="L248" s="7" t="s">
        <v>3282</v>
      </c>
      <c r="M248" s="12"/>
    </row>
    <row r="249" spans="1:13" ht="15.2" customHeight="1" x14ac:dyDescent="0.2">
      <c r="A249" s="6" t="s">
        <v>541</v>
      </c>
      <c r="B249" s="7" t="s">
        <v>542</v>
      </c>
      <c r="C249" s="8">
        <v>1</v>
      </c>
      <c r="D249" s="9">
        <v>12.5</v>
      </c>
      <c r="E249" s="9">
        <v>12.5</v>
      </c>
      <c r="F249" s="10">
        <v>27.99</v>
      </c>
      <c r="G249" s="9">
        <v>27.99</v>
      </c>
      <c r="H249" s="8" t="s">
        <v>1826</v>
      </c>
      <c r="I249" s="7" t="s">
        <v>3182</v>
      </c>
      <c r="J249" s="11" t="s">
        <v>3231</v>
      </c>
      <c r="K249" s="7" t="s">
        <v>3334</v>
      </c>
      <c r="L249" s="7" t="s">
        <v>3324</v>
      </c>
      <c r="M249" s="12"/>
    </row>
    <row r="250" spans="1:13" ht="15.2" customHeight="1" x14ac:dyDescent="0.2">
      <c r="A250" s="6" t="s">
        <v>543</v>
      </c>
      <c r="B250" s="7" t="s">
        <v>544</v>
      </c>
      <c r="C250" s="8">
        <v>1</v>
      </c>
      <c r="D250" s="9">
        <v>12.5</v>
      </c>
      <c r="E250" s="9">
        <v>12.5</v>
      </c>
      <c r="F250" s="10">
        <v>27.99</v>
      </c>
      <c r="G250" s="9">
        <v>27.99</v>
      </c>
      <c r="H250" s="8" t="s">
        <v>1826</v>
      </c>
      <c r="I250" s="7" t="s">
        <v>3214</v>
      </c>
      <c r="J250" s="11" t="s">
        <v>3186</v>
      </c>
      <c r="K250" s="7" t="s">
        <v>3334</v>
      </c>
      <c r="L250" s="7" t="s">
        <v>3324</v>
      </c>
      <c r="M250" s="12"/>
    </row>
    <row r="251" spans="1:13" ht="15.2" customHeight="1" x14ac:dyDescent="0.2">
      <c r="A251" s="6" t="s">
        <v>545</v>
      </c>
      <c r="B251" s="7" t="s">
        <v>546</v>
      </c>
      <c r="C251" s="8">
        <v>1</v>
      </c>
      <c r="D251" s="9">
        <v>12.5</v>
      </c>
      <c r="E251" s="9">
        <v>12.5</v>
      </c>
      <c r="F251" s="10">
        <v>27.99</v>
      </c>
      <c r="G251" s="9">
        <v>27.99</v>
      </c>
      <c r="H251" s="8" t="s">
        <v>1826</v>
      </c>
      <c r="I251" s="7" t="s">
        <v>3182</v>
      </c>
      <c r="J251" s="11" t="s">
        <v>3220</v>
      </c>
      <c r="K251" s="7" t="s">
        <v>3334</v>
      </c>
      <c r="L251" s="7" t="s">
        <v>3324</v>
      </c>
      <c r="M251" s="12"/>
    </row>
    <row r="252" spans="1:13" ht="15.2" customHeight="1" x14ac:dyDescent="0.2">
      <c r="A252" s="6" t="s">
        <v>547</v>
      </c>
      <c r="B252" s="7" t="s">
        <v>548</v>
      </c>
      <c r="C252" s="8">
        <v>2</v>
      </c>
      <c r="D252" s="9">
        <v>12.5</v>
      </c>
      <c r="E252" s="9">
        <v>25</v>
      </c>
      <c r="F252" s="10">
        <v>27.99</v>
      </c>
      <c r="G252" s="9">
        <v>55.98</v>
      </c>
      <c r="H252" s="8" t="s">
        <v>1826</v>
      </c>
      <c r="I252" s="7" t="s">
        <v>3214</v>
      </c>
      <c r="J252" s="11" t="s">
        <v>3220</v>
      </c>
      <c r="K252" s="7" t="s">
        <v>3334</v>
      </c>
      <c r="L252" s="7" t="s">
        <v>3324</v>
      </c>
      <c r="M252" s="12"/>
    </row>
    <row r="253" spans="1:13" ht="15.2" customHeight="1" x14ac:dyDescent="0.2">
      <c r="A253" s="6" t="s">
        <v>549</v>
      </c>
      <c r="B253" s="7" t="s">
        <v>550</v>
      </c>
      <c r="C253" s="8">
        <v>1</v>
      </c>
      <c r="D253" s="9">
        <v>12.5</v>
      </c>
      <c r="E253" s="9">
        <v>12.5</v>
      </c>
      <c r="F253" s="10">
        <v>27.99</v>
      </c>
      <c r="G253" s="9">
        <v>27.99</v>
      </c>
      <c r="H253" s="8" t="s">
        <v>1826</v>
      </c>
      <c r="I253" s="7" t="s">
        <v>3214</v>
      </c>
      <c r="J253" s="11" t="s">
        <v>3231</v>
      </c>
      <c r="K253" s="7" t="s">
        <v>3334</v>
      </c>
      <c r="L253" s="7" t="s">
        <v>3324</v>
      </c>
      <c r="M253" s="12"/>
    </row>
    <row r="254" spans="1:13" ht="15.2" customHeight="1" x14ac:dyDescent="0.2">
      <c r="A254" s="6" t="s">
        <v>1824</v>
      </c>
      <c r="B254" s="7" t="s">
        <v>1825</v>
      </c>
      <c r="C254" s="8">
        <v>2</v>
      </c>
      <c r="D254" s="9">
        <v>12.5</v>
      </c>
      <c r="E254" s="9">
        <v>25</v>
      </c>
      <c r="F254" s="10">
        <v>27.99</v>
      </c>
      <c r="G254" s="9">
        <v>55.98</v>
      </c>
      <c r="H254" s="8" t="s">
        <v>1826</v>
      </c>
      <c r="I254" s="7" t="s">
        <v>3182</v>
      </c>
      <c r="J254" s="11" t="s">
        <v>3186</v>
      </c>
      <c r="K254" s="7" t="s">
        <v>3334</v>
      </c>
      <c r="L254" s="7" t="s">
        <v>3324</v>
      </c>
      <c r="M254" s="12"/>
    </row>
    <row r="255" spans="1:13" ht="15.2" customHeight="1" x14ac:dyDescent="0.2">
      <c r="A255" s="6" t="s">
        <v>551</v>
      </c>
      <c r="B255" s="7" t="s">
        <v>552</v>
      </c>
      <c r="C255" s="8">
        <v>1</v>
      </c>
      <c r="D255" s="9">
        <v>12.5</v>
      </c>
      <c r="E255" s="9">
        <v>12.5</v>
      </c>
      <c r="F255" s="10">
        <v>27.99</v>
      </c>
      <c r="G255" s="9">
        <v>27.99</v>
      </c>
      <c r="H255" s="8" t="s">
        <v>1826</v>
      </c>
      <c r="I255" s="7" t="s">
        <v>3182</v>
      </c>
      <c r="J255" s="11" t="s">
        <v>3242</v>
      </c>
      <c r="K255" s="7" t="s">
        <v>3334</v>
      </c>
      <c r="L255" s="7" t="s">
        <v>3324</v>
      </c>
      <c r="M255" s="12"/>
    </row>
    <row r="256" spans="1:13" ht="15.2" customHeight="1" x14ac:dyDescent="0.2">
      <c r="A256" s="6" t="s">
        <v>3551</v>
      </c>
      <c r="B256" s="7" t="s">
        <v>3552</v>
      </c>
      <c r="C256" s="8">
        <v>1</v>
      </c>
      <c r="D256" s="9">
        <v>12.5</v>
      </c>
      <c r="E256" s="9">
        <v>12.5</v>
      </c>
      <c r="F256" s="10">
        <v>39</v>
      </c>
      <c r="G256" s="9">
        <v>39</v>
      </c>
      <c r="H256" s="8" t="s">
        <v>3553</v>
      </c>
      <c r="I256" s="7"/>
      <c r="J256" s="11" t="s">
        <v>3186</v>
      </c>
      <c r="K256" s="7" t="s">
        <v>3295</v>
      </c>
      <c r="L256" s="7" t="s">
        <v>3296</v>
      </c>
      <c r="M256" s="12"/>
    </row>
    <row r="257" spans="1:13" ht="15.2" customHeight="1" x14ac:dyDescent="0.2">
      <c r="A257" s="6" t="s">
        <v>2012</v>
      </c>
      <c r="B257" s="7" t="s">
        <v>2013</v>
      </c>
      <c r="C257" s="8">
        <v>1</v>
      </c>
      <c r="D257" s="9">
        <v>12</v>
      </c>
      <c r="E257" s="9">
        <v>12</v>
      </c>
      <c r="F257" s="10">
        <v>49</v>
      </c>
      <c r="G257" s="9">
        <v>49</v>
      </c>
      <c r="H257" s="8" t="s">
        <v>4179</v>
      </c>
      <c r="I257" s="7" t="s">
        <v>3203</v>
      </c>
      <c r="J257" s="11" t="s">
        <v>3213</v>
      </c>
      <c r="K257" s="7" t="s">
        <v>3281</v>
      </c>
      <c r="L257" s="7" t="s">
        <v>3345</v>
      </c>
      <c r="M257" s="12"/>
    </row>
    <row r="258" spans="1:13" ht="15.2" customHeight="1" x14ac:dyDescent="0.2">
      <c r="A258" s="6" t="s">
        <v>553</v>
      </c>
      <c r="B258" s="7" t="s">
        <v>554</v>
      </c>
      <c r="C258" s="8">
        <v>1</v>
      </c>
      <c r="D258" s="9">
        <v>12</v>
      </c>
      <c r="E258" s="9">
        <v>12</v>
      </c>
      <c r="F258" s="10">
        <v>49</v>
      </c>
      <c r="G258" s="9">
        <v>49</v>
      </c>
      <c r="H258" s="8" t="s">
        <v>4179</v>
      </c>
      <c r="I258" s="7" t="s">
        <v>3203</v>
      </c>
      <c r="J258" s="11" t="s">
        <v>3211</v>
      </c>
      <c r="K258" s="7" t="s">
        <v>3281</v>
      </c>
      <c r="L258" s="7" t="s">
        <v>3345</v>
      </c>
      <c r="M258" s="12"/>
    </row>
    <row r="259" spans="1:13" ht="15.2" customHeight="1" x14ac:dyDescent="0.2">
      <c r="A259" s="6" t="s">
        <v>555</v>
      </c>
      <c r="B259" s="7" t="s">
        <v>556</v>
      </c>
      <c r="C259" s="8">
        <v>1</v>
      </c>
      <c r="D259" s="9">
        <v>11.5</v>
      </c>
      <c r="E259" s="9">
        <v>11.5</v>
      </c>
      <c r="F259" s="10">
        <v>22.99</v>
      </c>
      <c r="G259" s="9">
        <v>22.99</v>
      </c>
      <c r="H259" s="8" t="s">
        <v>1829</v>
      </c>
      <c r="I259" s="7" t="s">
        <v>3191</v>
      </c>
      <c r="J259" s="11" t="s">
        <v>3231</v>
      </c>
      <c r="K259" s="7" t="s">
        <v>3326</v>
      </c>
      <c r="L259" s="7" t="s">
        <v>3550</v>
      </c>
      <c r="M259" s="12"/>
    </row>
    <row r="260" spans="1:13" ht="15.2" customHeight="1" x14ac:dyDescent="0.2">
      <c r="A260" s="6" t="s">
        <v>557</v>
      </c>
      <c r="B260" s="7" t="s">
        <v>558</v>
      </c>
      <c r="C260" s="8">
        <v>1</v>
      </c>
      <c r="D260" s="9">
        <v>11.5</v>
      </c>
      <c r="E260" s="9">
        <v>11.5</v>
      </c>
      <c r="F260" s="10">
        <v>25.99</v>
      </c>
      <c r="G260" s="9">
        <v>25.99</v>
      </c>
      <c r="H260" s="8" t="s">
        <v>1827</v>
      </c>
      <c r="I260" s="7" t="s">
        <v>3421</v>
      </c>
      <c r="J260" s="11" t="s">
        <v>3204</v>
      </c>
      <c r="K260" s="7" t="s">
        <v>3326</v>
      </c>
      <c r="L260" s="7" t="s">
        <v>3679</v>
      </c>
      <c r="M260" s="12"/>
    </row>
    <row r="261" spans="1:13" ht="15.2" customHeight="1" x14ac:dyDescent="0.2">
      <c r="A261" s="6" t="s">
        <v>2077</v>
      </c>
      <c r="B261" s="7" t="s">
        <v>2075</v>
      </c>
      <c r="C261" s="8">
        <v>1</v>
      </c>
      <c r="D261" s="9">
        <v>11.5</v>
      </c>
      <c r="E261" s="9">
        <v>11.5</v>
      </c>
      <c r="F261" s="10">
        <v>25.99</v>
      </c>
      <c r="G261" s="9">
        <v>25.99</v>
      </c>
      <c r="H261" s="8" t="s">
        <v>2076</v>
      </c>
      <c r="I261" s="7" t="s">
        <v>3210</v>
      </c>
      <c r="J261" s="11" t="s">
        <v>3240</v>
      </c>
      <c r="K261" s="7" t="s">
        <v>3326</v>
      </c>
      <c r="L261" s="7" t="s">
        <v>3282</v>
      </c>
      <c r="M261" s="12"/>
    </row>
    <row r="262" spans="1:13" ht="15.2" customHeight="1" x14ac:dyDescent="0.2">
      <c r="A262" s="6" t="s">
        <v>3791</v>
      </c>
      <c r="B262" s="7" t="s">
        <v>3792</v>
      </c>
      <c r="C262" s="8">
        <v>1</v>
      </c>
      <c r="D262" s="9">
        <v>11.25</v>
      </c>
      <c r="E262" s="9">
        <v>11.25</v>
      </c>
      <c r="F262" s="10">
        <v>49</v>
      </c>
      <c r="G262" s="9">
        <v>49</v>
      </c>
      <c r="H262" s="8" t="s">
        <v>3557</v>
      </c>
      <c r="I262" s="7" t="s">
        <v>3321</v>
      </c>
      <c r="J262" s="11" t="s">
        <v>3229</v>
      </c>
      <c r="K262" s="7" t="s">
        <v>3281</v>
      </c>
      <c r="L262" s="7" t="s">
        <v>3345</v>
      </c>
      <c r="M262" s="12"/>
    </row>
    <row r="263" spans="1:13" ht="15.2" customHeight="1" x14ac:dyDescent="0.2">
      <c r="A263" s="6" t="s">
        <v>559</v>
      </c>
      <c r="B263" s="7" t="s">
        <v>560</v>
      </c>
      <c r="C263" s="8">
        <v>1</v>
      </c>
      <c r="D263" s="9">
        <v>11</v>
      </c>
      <c r="E263" s="9">
        <v>11</v>
      </c>
      <c r="F263" s="10">
        <v>27.99</v>
      </c>
      <c r="G263" s="9">
        <v>27.99</v>
      </c>
      <c r="H263" s="8" t="s">
        <v>1634</v>
      </c>
      <c r="I263" s="7" t="s">
        <v>3185</v>
      </c>
      <c r="J263" s="11" t="s">
        <v>3231</v>
      </c>
      <c r="K263" s="7" t="s">
        <v>3343</v>
      </c>
      <c r="L263" s="7" t="s">
        <v>3356</v>
      </c>
      <c r="M263" s="12"/>
    </row>
    <row r="264" spans="1:13" ht="15.2" customHeight="1" x14ac:dyDescent="0.2">
      <c r="A264" s="6" t="s">
        <v>2016</v>
      </c>
      <c r="B264" s="7" t="s">
        <v>2017</v>
      </c>
      <c r="C264" s="8">
        <v>1</v>
      </c>
      <c r="D264" s="9">
        <v>11</v>
      </c>
      <c r="E264" s="9">
        <v>11</v>
      </c>
      <c r="F264" s="10">
        <v>27.99</v>
      </c>
      <c r="G264" s="9">
        <v>27.99</v>
      </c>
      <c r="H264" s="8" t="s">
        <v>1634</v>
      </c>
      <c r="I264" s="7" t="s">
        <v>3185</v>
      </c>
      <c r="J264" s="11" t="s">
        <v>3186</v>
      </c>
      <c r="K264" s="7" t="s">
        <v>3343</v>
      </c>
      <c r="L264" s="7" t="s">
        <v>3356</v>
      </c>
      <c r="M264" s="12"/>
    </row>
    <row r="265" spans="1:13" ht="15.2" customHeight="1" x14ac:dyDescent="0.2">
      <c r="A265" s="6" t="s">
        <v>561</v>
      </c>
      <c r="B265" s="7" t="s">
        <v>562</v>
      </c>
      <c r="C265" s="8">
        <v>1</v>
      </c>
      <c r="D265" s="9">
        <v>11</v>
      </c>
      <c r="E265" s="9">
        <v>11</v>
      </c>
      <c r="F265" s="10">
        <v>27.99</v>
      </c>
      <c r="G265" s="9">
        <v>27.99</v>
      </c>
      <c r="H265" s="8" t="s">
        <v>2082</v>
      </c>
      <c r="I265" s="7" t="s">
        <v>3640</v>
      </c>
      <c r="J265" s="11" t="s">
        <v>3220</v>
      </c>
      <c r="K265" s="7" t="s">
        <v>3343</v>
      </c>
      <c r="L265" s="7" t="s">
        <v>3356</v>
      </c>
      <c r="M265" s="12"/>
    </row>
    <row r="266" spans="1:13" ht="15.2" customHeight="1" x14ac:dyDescent="0.2">
      <c r="A266" s="6" t="s">
        <v>2080</v>
      </c>
      <c r="B266" s="7" t="s">
        <v>2081</v>
      </c>
      <c r="C266" s="8">
        <v>1</v>
      </c>
      <c r="D266" s="9">
        <v>11</v>
      </c>
      <c r="E266" s="9">
        <v>11</v>
      </c>
      <c r="F266" s="10">
        <v>27.99</v>
      </c>
      <c r="G266" s="9">
        <v>27.99</v>
      </c>
      <c r="H266" s="8" t="s">
        <v>2082</v>
      </c>
      <c r="I266" s="7" t="s">
        <v>3191</v>
      </c>
      <c r="J266" s="11" t="s">
        <v>3202</v>
      </c>
      <c r="K266" s="7" t="s">
        <v>3343</v>
      </c>
      <c r="L266" s="7" t="s">
        <v>3356</v>
      </c>
      <c r="M266" s="12"/>
    </row>
    <row r="267" spans="1:13" ht="15.2" customHeight="1" x14ac:dyDescent="0.2">
      <c r="A267" s="6" t="s">
        <v>563</v>
      </c>
      <c r="B267" s="7" t="s">
        <v>564</v>
      </c>
      <c r="C267" s="8">
        <v>1</v>
      </c>
      <c r="D267" s="9">
        <v>11</v>
      </c>
      <c r="E267" s="9">
        <v>11</v>
      </c>
      <c r="F267" s="10">
        <v>27.99</v>
      </c>
      <c r="G267" s="9">
        <v>27.99</v>
      </c>
      <c r="H267" s="8" t="s">
        <v>2082</v>
      </c>
      <c r="I267" s="7" t="s">
        <v>3191</v>
      </c>
      <c r="J267" s="11" t="s">
        <v>3202</v>
      </c>
      <c r="K267" s="7" t="s">
        <v>3343</v>
      </c>
      <c r="L267" s="7" t="s">
        <v>3356</v>
      </c>
      <c r="M267" s="12"/>
    </row>
    <row r="268" spans="1:13" ht="15.2" customHeight="1" x14ac:dyDescent="0.2">
      <c r="A268" s="6" t="s">
        <v>565</v>
      </c>
      <c r="B268" s="7" t="s">
        <v>566</v>
      </c>
      <c r="C268" s="8">
        <v>1</v>
      </c>
      <c r="D268" s="9">
        <v>11</v>
      </c>
      <c r="E268" s="9">
        <v>11</v>
      </c>
      <c r="F268" s="10">
        <v>27.99</v>
      </c>
      <c r="G268" s="9">
        <v>27.99</v>
      </c>
      <c r="H268" s="8" t="s">
        <v>1634</v>
      </c>
      <c r="I268" s="7" t="s">
        <v>3257</v>
      </c>
      <c r="J268" s="11" t="s">
        <v>3242</v>
      </c>
      <c r="K268" s="7" t="s">
        <v>3343</v>
      </c>
      <c r="L268" s="7" t="s">
        <v>3356</v>
      </c>
      <c r="M268" s="12"/>
    </row>
    <row r="269" spans="1:13" ht="15.2" customHeight="1" x14ac:dyDescent="0.2">
      <c r="A269" s="6" t="s">
        <v>567</v>
      </c>
      <c r="B269" s="7" t="s">
        <v>568</v>
      </c>
      <c r="C269" s="8">
        <v>1</v>
      </c>
      <c r="D269" s="9">
        <v>11</v>
      </c>
      <c r="E269" s="9">
        <v>11</v>
      </c>
      <c r="F269" s="10">
        <v>25.99</v>
      </c>
      <c r="G269" s="9">
        <v>25.99</v>
      </c>
      <c r="H269" s="8" t="s">
        <v>569</v>
      </c>
      <c r="I269" s="7" t="s">
        <v>3286</v>
      </c>
      <c r="J269" s="11" t="s">
        <v>3202</v>
      </c>
      <c r="K269" s="7" t="s">
        <v>3326</v>
      </c>
      <c r="L269" s="7" t="s">
        <v>3717</v>
      </c>
      <c r="M269" s="12"/>
    </row>
    <row r="270" spans="1:13" ht="15.2" customHeight="1" x14ac:dyDescent="0.2">
      <c r="A270" s="6" t="s">
        <v>570</v>
      </c>
      <c r="B270" s="7" t="s">
        <v>571</v>
      </c>
      <c r="C270" s="8">
        <v>1</v>
      </c>
      <c r="D270" s="9">
        <v>11</v>
      </c>
      <c r="E270" s="9">
        <v>11</v>
      </c>
      <c r="F270" s="10">
        <v>39</v>
      </c>
      <c r="G270" s="9">
        <v>39</v>
      </c>
      <c r="H270" s="8" t="s">
        <v>572</v>
      </c>
      <c r="I270" s="7" t="s">
        <v>3252</v>
      </c>
      <c r="J270" s="11" t="s">
        <v>3186</v>
      </c>
      <c r="K270" s="7" t="s">
        <v>3295</v>
      </c>
      <c r="L270" s="7" t="s">
        <v>3296</v>
      </c>
      <c r="M270" s="12"/>
    </row>
    <row r="271" spans="1:13" ht="15.2" customHeight="1" x14ac:dyDescent="0.2">
      <c r="A271" s="6" t="s">
        <v>1927</v>
      </c>
      <c r="B271" s="7" t="s">
        <v>1928</v>
      </c>
      <c r="C271" s="8">
        <v>2</v>
      </c>
      <c r="D271" s="9">
        <v>11</v>
      </c>
      <c r="E271" s="9">
        <v>22</v>
      </c>
      <c r="F271" s="10">
        <v>27.99</v>
      </c>
      <c r="G271" s="9">
        <v>55.98</v>
      </c>
      <c r="H271" s="8" t="s">
        <v>1634</v>
      </c>
      <c r="I271" s="7" t="s">
        <v>3257</v>
      </c>
      <c r="J271" s="11" t="s">
        <v>3202</v>
      </c>
      <c r="K271" s="7" t="s">
        <v>3343</v>
      </c>
      <c r="L271" s="7" t="s">
        <v>3356</v>
      </c>
      <c r="M271" s="12"/>
    </row>
    <row r="272" spans="1:13" ht="15.2" customHeight="1" x14ac:dyDescent="0.2">
      <c r="A272" s="6" t="s">
        <v>1923</v>
      </c>
      <c r="B272" s="7" t="s">
        <v>1924</v>
      </c>
      <c r="C272" s="8">
        <v>1</v>
      </c>
      <c r="D272" s="9">
        <v>11</v>
      </c>
      <c r="E272" s="9">
        <v>11</v>
      </c>
      <c r="F272" s="10">
        <v>27.99</v>
      </c>
      <c r="G272" s="9">
        <v>27.99</v>
      </c>
      <c r="H272" s="8" t="s">
        <v>1634</v>
      </c>
      <c r="I272" s="7" t="s">
        <v>3257</v>
      </c>
      <c r="J272" s="11" t="s">
        <v>3186</v>
      </c>
      <c r="K272" s="7" t="s">
        <v>3343</v>
      </c>
      <c r="L272" s="7" t="s">
        <v>3356</v>
      </c>
      <c r="M272" s="12"/>
    </row>
    <row r="273" spans="1:13" ht="15.2" customHeight="1" x14ac:dyDescent="0.2">
      <c r="A273" s="6" t="s">
        <v>1749</v>
      </c>
      <c r="B273" s="7" t="s">
        <v>1750</v>
      </c>
      <c r="C273" s="8">
        <v>2</v>
      </c>
      <c r="D273" s="9">
        <v>11</v>
      </c>
      <c r="E273" s="9">
        <v>22</v>
      </c>
      <c r="F273" s="10">
        <v>27.99</v>
      </c>
      <c r="G273" s="9">
        <v>55.98</v>
      </c>
      <c r="H273" s="8" t="s">
        <v>1634</v>
      </c>
      <c r="I273" s="7" t="s">
        <v>3185</v>
      </c>
      <c r="J273" s="11" t="s">
        <v>3220</v>
      </c>
      <c r="K273" s="7" t="s">
        <v>3343</v>
      </c>
      <c r="L273" s="7" t="s">
        <v>3356</v>
      </c>
      <c r="M273" s="12"/>
    </row>
    <row r="274" spans="1:13" ht="15.2" customHeight="1" x14ac:dyDescent="0.2">
      <c r="A274" s="6" t="s">
        <v>573</v>
      </c>
      <c r="B274" s="7" t="s">
        <v>574</v>
      </c>
      <c r="C274" s="8">
        <v>1</v>
      </c>
      <c r="D274" s="9">
        <v>11</v>
      </c>
      <c r="E274" s="9">
        <v>11</v>
      </c>
      <c r="F274" s="10">
        <v>27.99</v>
      </c>
      <c r="G274" s="9">
        <v>27.99</v>
      </c>
      <c r="H274" s="8" t="s">
        <v>1634</v>
      </c>
      <c r="I274" s="7" t="s">
        <v>3257</v>
      </c>
      <c r="J274" s="11" t="s">
        <v>3231</v>
      </c>
      <c r="K274" s="7" t="s">
        <v>3343</v>
      </c>
      <c r="L274" s="7" t="s">
        <v>3356</v>
      </c>
      <c r="M274" s="12"/>
    </row>
    <row r="275" spans="1:13" ht="15.2" customHeight="1" x14ac:dyDescent="0.2">
      <c r="A275" s="6" t="s">
        <v>2078</v>
      </c>
      <c r="B275" s="7" t="s">
        <v>2079</v>
      </c>
      <c r="C275" s="8">
        <v>1</v>
      </c>
      <c r="D275" s="9">
        <v>11</v>
      </c>
      <c r="E275" s="9">
        <v>11</v>
      </c>
      <c r="F275" s="10">
        <v>27.99</v>
      </c>
      <c r="G275" s="9">
        <v>27.99</v>
      </c>
      <c r="H275" s="8" t="s">
        <v>1634</v>
      </c>
      <c r="I275" s="7" t="s">
        <v>3185</v>
      </c>
      <c r="J275" s="11" t="s">
        <v>3202</v>
      </c>
      <c r="K275" s="7" t="s">
        <v>3343</v>
      </c>
      <c r="L275" s="7" t="s">
        <v>3356</v>
      </c>
      <c r="M275" s="12"/>
    </row>
    <row r="276" spans="1:13" ht="15.2" customHeight="1" x14ac:dyDescent="0.2">
      <c r="A276" s="6" t="s">
        <v>1632</v>
      </c>
      <c r="B276" s="7" t="s">
        <v>1633</v>
      </c>
      <c r="C276" s="8">
        <v>2</v>
      </c>
      <c r="D276" s="9">
        <v>11</v>
      </c>
      <c r="E276" s="9">
        <v>22</v>
      </c>
      <c r="F276" s="10">
        <v>27.99</v>
      </c>
      <c r="G276" s="9">
        <v>55.98</v>
      </c>
      <c r="H276" s="8" t="s">
        <v>1634</v>
      </c>
      <c r="I276" s="7" t="s">
        <v>3257</v>
      </c>
      <c r="J276" s="11" t="s">
        <v>3220</v>
      </c>
      <c r="K276" s="7" t="s">
        <v>3343</v>
      </c>
      <c r="L276" s="7" t="s">
        <v>3356</v>
      </c>
      <c r="M276" s="12"/>
    </row>
    <row r="277" spans="1:13" ht="15.2" customHeight="1" x14ac:dyDescent="0.2">
      <c r="A277" s="6" t="s">
        <v>575</v>
      </c>
      <c r="B277" s="7" t="s">
        <v>576</v>
      </c>
      <c r="C277" s="8">
        <v>1</v>
      </c>
      <c r="D277" s="9">
        <v>10.9</v>
      </c>
      <c r="E277" s="9">
        <v>10.9</v>
      </c>
      <c r="F277" s="10">
        <v>22.99</v>
      </c>
      <c r="G277" s="9">
        <v>22.99</v>
      </c>
      <c r="H277" s="8" t="s">
        <v>2083</v>
      </c>
      <c r="I277" s="7" t="s">
        <v>3234</v>
      </c>
      <c r="J277" s="11" t="s">
        <v>3186</v>
      </c>
      <c r="K277" s="7" t="s">
        <v>3326</v>
      </c>
      <c r="L277" s="7" t="s">
        <v>3550</v>
      </c>
      <c r="M277" s="12"/>
    </row>
    <row r="278" spans="1:13" ht="15.2" customHeight="1" x14ac:dyDescent="0.2">
      <c r="A278" s="6" t="s">
        <v>577</v>
      </c>
      <c r="B278" s="7" t="s">
        <v>578</v>
      </c>
      <c r="C278" s="8">
        <v>1</v>
      </c>
      <c r="D278" s="9">
        <v>10.6</v>
      </c>
      <c r="E278" s="9">
        <v>10.6</v>
      </c>
      <c r="F278" s="10">
        <v>24.99</v>
      </c>
      <c r="G278" s="9">
        <v>24.99</v>
      </c>
      <c r="H278" s="8" t="s">
        <v>3565</v>
      </c>
      <c r="I278" s="7" t="s">
        <v>3185</v>
      </c>
      <c r="J278" s="11" t="s">
        <v>3186</v>
      </c>
      <c r="K278" s="7" t="s">
        <v>3334</v>
      </c>
      <c r="L278" s="7" t="s">
        <v>3324</v>
      </c>
      <c r="M278" s="12"/>
    </row>
    <row r="279" spans="1:13" ht="15.2" customHeight="1" x14ac:dyDescent="0.2">
      <c r="A279" s="6" t="s">
        <v>579</v>
      </c>
      <c r="B279" s="7" t="s">
        <v>580</v>
      </c>
      <c r="C279" s="8">
        <v>1</v>
      </c>
      <c r="D279" s="9">
        <v>10.6</v>
      </c>
      <c r="E279" s="9">
        <v>10.6</v>
      </c>
      <c r="F279" s="10">
        <v>24.99</v>
      </c>
      <c r="G279" s="9">
        <v>24.99</v>
      </c>
      <c r="H279" s="8" t="s">
        <v>3566</v>
      </c>
      <c r="I279" s="7" t="s">
        <v>3214</v>
      </c>
      <c r="J279" s="11" t="s">
        <v>3220</v>
      </c>
      <c r="K279" s="7" t="s">
        <v>3334</v>
      </c>
      <c r="L279" s="7" t="s">
        <v>3324</v>
      </c>
      <c r="M279" s="12"/>
    </row>
    <row r="280" spans="1:13" ht="15.2" customHeight="1" x14ac:dyDescent="0.2">
      <c r="A280" s="6" t="s">
        <v>2084</v>
      </c>
      <c r="B280" s="7" t="s">
        <v>2085</v>
      </c>
      <c r="C280" s="8">
        <v>1</v>
      </c>
      <c r="D280" s="9">
        <v>10.199999999999999</v>
      </c>
      <c r="E280" s="9">
        <v>10.199999999999999</v>
      </c>
      <c r="F280" s="10">
        <v>22.99</v>
      </c>
      <c r="G280" s="9">
        <v>22.99</v>
      </c>
      <c r="H280" s="8" t="s">
        <v>2086</v>
      </c>
      <c r="I280" s="7" t="s">
        <v>3376</v>
      </c>
      <c r="J280" s="11" t="s">
        <v>3231</v>
      </c>
      <c r="K280" s="7" t="s">
        <v>3334</v>
      </c>
      <c r="L280" s="7" t="s">
        <v>3324</v>
      </c>
      <c r="M280" s="12"/>
    </row>
    <row r="281" spans="1:13" ht="15.2" customHeight="1" x14ac:dyDescent="0.2">
      <c r="A281" s="6" t="s">
        <v>2087</v>
      </c>
      <c r="B281" s="7" t="s">
        <v>2088</v>
      </c>
      <c r="C281" s="8">
        <v>1</v>
      </c>
      <c r="D281" s="9">
        <v>10</v>
      </c>
      <c r="E281" s="9">
        <v>10</v>
      </c>
      <c r="F281" s="10">
        <v>24.99</v>
      </c>
      <c r="G281" s="9">
        <v>24.99</v>
      </c>
      <c r="H281" s="8" t="s">
        <v>1639</v>
      </c>
      <c r="I281" s="7" t="s">
        <v>3210</v>
      </c>
      <c r="J281" s="11" t="s">
        <v>3242</v>
      </c>
      <c r="K281" s="7" t="s">
        <v>3343</v>
      </c>
      <c r="L281" s="7" t="s">
        <v>3356</v>
      </c>
      <c r="M281" s="12"/>
    </row>
    <row r="282" spans="1:13" ht="15.2" customHeight="1" x14ac:dyDescent="0.2">
      <c r="A282" s="6" t="s">
        <v>1832</v>
      </c>
      <c r="B282" s="7" t="s">
        <v>1833</v>
      </c>
      <c r="C282" s="8">
        <v>1</v>
      </c>
      <c r="D282" s="9">
        <v>10</v>
      </c>
      <c r="E282" s="9">
        <v>10</v>
      </c>
      <c r="F282" s="10">
        <v>24.99</v>
      </c>
      <c r="G282" s="9">
        <v>24.99</v>
      </c>
      <c r="H282" s="8" t="s">
        <v>1639</v>
      </c>
      <c r="I282" s="7" t="s">
        <v>3339</v>
      </c>
      <c r="J282" s="11" t="s">
        <v>3186</v>
      </c>
      <c r="K282" s="7" t="s">
        <v>3343</v>
      </c>
      <c r="L282" s="7" t="s">
        <v>3356</v>
      </c>
      <c r="M282" s="12"/>
    </row>
    <row r="283" spans="1:13" ht="15.2" customHeight="1" x14ac:dyDescent="0.2">
      <c r="A283" s="6" t="s">
        <v>1931</v>
      </c>
      <c r="B283" s="7" t="s">
        <v>1932</v>
      </c>
      <c r="C283" s="8">
        <v>1</v>
      </c>
      <c r="D283" s="9">
        <v>10</v>
      </c>
      <c r="E283" s="9">
        <v>10</v>
      </c>
      <c r="F283" s="10">
        <v>24.99</v>
      </c>
      <c r="G283" s="9">
        <v>24.99</v>
      </c>
      <c r="H283" s="8" t="s">
        <v>1639</v>
      </c>
      <c r="I283" s="7" t="s">
        <v>3210</v>
      </c>
      <c r="J283" s="11" t="s">
        <v>3220</v>
      </c>
      <c r="K283" s="7" t="s">
        <v>3343</v>
      </c>
      <c r="L283" s="7" t="s">
        <v>3356</v>
      </c>
      <c r="M283" s="12"/>
    </row>
    <row r="284" spans="1:13" ht="15.2" customHeight="1" x14ac:dyDescent="0.2">
      <c r="A284" s="6" t="s">
        <v>1830</v>
      </c>
      <c r="B284" s="7" t="s">
        <v>1831</v>
      </c>
      <c r="C284" s="8">
        <v>1</v>
      </c>
      <c r="D284" s="9">
        <v>10</v>
      </c>
      <c r="E284" s="9">
        <v>10</v>
      </c>
      <c r="F284" s="10">
        <v>24.99</v>
      </c>
      <c r="G284" s="9">
        <v>24.99</v>
      </c>
      <c r="H284" s="8" t="s">
        <v>1639</v>
      </c>
      <c r="I284" s="7" t="s">
        <v>3339</v>
      </c>
      <c r="J284" s="11" t="s">
        <v>3231</v>
      </c>
      <c r="K284" s="7" t="s">
        <v>3343</v>
      </c>
      <c r="L284" s="7" t="s">
        <v>3356</v>
      </c>
      <c r="M284" s="12"/>
    </row>
    <row r="285" spans="1:13" ht="15.2" customHeight="1" x14ac:dyDescent="0.2">
      <c r="A285" s="6" t="s">
        <v>581</v>
      </c>
      <c r="B285" s="7" t="s">
        <v>582</v>
      </c>
      <c r="C285" s="8">
        <v>1</v>
      </c>
      <c r="D285" s="9">
        <v>10</v>
      </c>
      <c r="E285" s="9">
        <v>10</v>
      </c>
      <c r="F285" s="10">
        <v>24.99</v>
      </c>
      <c r="G285" s="9">
        <v>24.99</v>
      </c>
      <c r="H285" s="8">
        <v>47848</v>
      </c>
      <c r="I285" s="7" t="s">
        <v>3185</v>
      </c>
      <c r="J285" s="11" t="s">
        <v>3202</v>
      </c>
      <c r="K285" s="7" t="s">
        <v>3323</v>
      </c>
      <c r="L285" s="7" t="s">
        <v>4087</v>
      </c>
      <c r="M285" s="12"/>
    </row>
    <row r="286" spans="1:13" ht="15.2" customHeight="1" x14ac:dyDescent="0.2">
      <c r="A286" s="6" t="s">
        <v>2998</v>
      </c>
      <c r="B286" s="7" t="s">
        <v>2999</v>
      </c>
      <c r="C286" s="8">
        <v>1</v>
      </c>
      <c r="D286" s="9">
        <v>9.8000000000000007</v>
      </c>
      <c r="E286" s="9">
        <v>9.8000000000000007</v>
      </c>
      <c r="F286" s="10">
        <v>19.989999999999998</v>
      </c>
      <c r="G286" s="9">
        <v>19.989999999999998</v>
      </c>
      <c r="H286" s="8" t="s">
        <v>3812</v>
      </c>
      <c r="I286" s="7" t="s">
        <v>3432</v>
      </c>
      <c r="J286" s="11" t="s">
        <v>3220</v>
      </c>
      <c r="K286" s="7" t="s">
        <v>3323</v>
      </c>
      <c r="L286" s="7" t="s">
        <v>3344</v>
      </c>
      <c r="M286" s="12"/>
    </row>
    <row r="287" spans="1:13" ht="15.2" customHeight="1" x14ac:dyDescent="0.2">
      <c r="A287" s="6" t="s">
        <v>1933</v>
      </c>
      <c r="B287" s="7" t="s">
        <v>1934</v>
      </c>
      <c r="C287" s="8">
        <v>1</v>
      </c>
      <c r="D287" s="9">
        <v>9.8000000000000007</v>
      </c>
      <c r="E287" s="9">
        <v>9.8000000000000007</v>
      </c>
      <c r="F287" s="10">
        <v>19.989999999999998</v>
      </c>
      <c r="G287" s="9">
        <v>19.989999999999998</v>
      </c>
      <c r="H287" s="8" t="s">
        <v>1935</v>
      </c>
      <c r="I287" s="7" t="s">
        <v>3185</v>
      </c>
      <c r="J287" s="11" t="s">
        <v>3220</v>
      </c>
      <c r="K287" s="7" t="s">
        <v>3323</v>
      </c>
      <c r="L287" s="7" t="s">
        <v>3344</v>
      </c>
      <c r="M287" s="12"/>
    </row>
    <row r="288" spans="1:13" ht="15.2" customHeight="1" x14ac:dyDescent="0.2">
      <c r="A288" s="6" t="s">
        <v>2018</v>
      </c>
      <c r="B288" s="7" t="s">
        <v>2019</v>
      </c>
      <c r="C288" s="8">
        <v>2</v>
      </c>
      <c r="D288" s="9">
        <v>9.51</v>
      </c>
      <c r="E288" s="9">
        <v>19.02</v>
      </c>
      <c r="F288" s="10">
        <v>21.99</v>
      </c>
      <c r="G288" s="9">
        <v>43.98</v>
      </c>
      <c r="H288" s="8" t="s">
        <v>3568</v>
      </c>
      <c r="I288" s="7" t="s">
        <v>3185</v>
      </c>
      <c r="J288" s="11" t="s">
        <v>3202</v>
      </c>
      <c r="K288" s="7" t="s">
        <v>3300</v>
      </c>
      <c r="L288" s="7" t="s">
        <v>3301</v>
      </c>
      <c r="M288" s="12"/>
    </row>
    <row r="289" spans="1:13" ht="15.2" customHeight="1" x14ac:dyDescent="0.2">
      <c r="A289" s="6" t="s">
        <v>583</v>
      </c>
      <c r="B289" s="7" t="s">
        <v>584</v>
      </c>
      <c r="C289" s="8">
        <v>1</v>
      </c>
      <c r="D289" s="9">
        <v>9.5</v>
      </c>
      <c r="E289" s="9">
        <v>9.5</v>
      </c>
      <c r="F289" s="10">
        <v>19.989999999999998</v>
      </c>
      <c r="G289" s="9">
        <v>19.989999999999998</v>
      </c>
      <c r="H289" s="8" t="s">
        <v>2469</v>
      </c>
      <c r="I289" s="7"/>
      <c r="J289" s="11" t="s">
        <v>3231</v>
      </c>
      <c r="K289" s="7" t="s">
        <v>3326</v>
      </c>
      <c r="L289" s="7" t="s">
        <v>3360</v>
      </c>
      <c r="M289" s="12"/>
    </row>
    <row r="290" spans="1:13" ht="15.2" customHeight="1" x14ac:dyDescent="0.2">
      <c r="A290" s="6" t="s">
        <v>2020</v>
      </c>
      <c r="B290" s="7" t="s">
        <v>2021</v>
      </c>
      <c r="C290" s="8">
        <v>1</v>
      </c>
      <c r="D290" s="9">
        <v>9.5</v>
      </c>
      <c r="E290" s="9">
        <v>9.5</v>
      </c>
      <c r="F290" s="10">
        <v>19.989999999999998</v>
      </c>
      <c r="G290" s="9">
        <v>19.989999999999998</v>
      </c>
      <c r="H290" s="8" t="s">
        <v>1753</v>
      </c>
      <c r="I290" s="7" t="s">
        <v>3185</v>
      </c>
      <c r="J290" s="11" t="s">
        <v>3231</v>
      </c>
      <c r="K290" s="7" t="s">
        <v>3387</v>
      </c>
      <c r="L290" s="7" t="s">
        <v>3388</v>
      </c>
      <c r="M290" s="12"/>
    </row>
    <row r="291" spans="1:13" ht="15.2" customHeight="1" x14ac:dyDescent="0.2">
      <c r="A291" s="6" t="s">
        <v>1835</v>
      </c>
      <c r="B291" s="7" t="s">
        <v>1836</v>
      </c>
      <c r="C291" s="8">
        <v>1</v>
      </c>
      <c r="D291" s="9">
        <v>9.25</v>
      </c>
      <c r="E291" s="9">
        <v>9.25</v>
      </c>
      <c r="F291" s="10">
        <v>22.99</v>
      </c>
      <c r="G291" s="9">
        <v>22.99</v>
      </c>
      <c r="H291" s="8" t="s">
        <v>4383</v>
      </c>
      <c r="I291" s="7" t="s">
        <v>3333</v>
      </c>
      <c r="J291" s="11" t="s">
        <v>3202</v>
      </c>
      <c r="K291" s="7" t="s">
        <v>3323</v>
      </c>
      <c r="L291" s="7" t="s">
        <v>3356</v>
      </c>
      <c r="M291" s="12"/>
    </row>
    <row r="292" spans="1:13" ht="15.2" customHeight="1" x14ac:dyDescent="0.2">
      <c r="A292" s="6" t="s">
        <v>1646</v>
      </c>
      <c r="B292" s="7" t="s">
        <v>1642</v>
      </c>
      <c r="C292" s="8">
        <v>1</v>
      </c>
      <c r="D292" s="9">
        <v>9.25</v>
      </c>
      <c r="E292" s="9">
        <v>9.25</v>
      </c>
      <c r="F292" s="10">
        <v>19.989999999999998</v>
      </c>
      <c r="G292" s="9">
        <v>19.989999999999998</v>
      </c>
      <c r="H292" s="8" t="s">
        <v>1643</v>
      </c>
      <c r="I292" s="7" t="s">
        <v>3339</v>
      </c>
      <c r="J292" s="11" t="s">
        <v>3202</v>
      </c>
      <c r="K292" s="7" t="s">
        <v>3387</v>
      </c>
      <c r="L292" s="7" t="s">
        <v>3388</v>
      </c>
      <c r="M292" s="12"/>
    </row>
    <row r="293" spans="1:13" ht="15.2" customHeight="1" x14ac:dyDescent="0.2">
      <c r="A293" s="6" t="s">
        <v>585</v>
      </c>
      <c r="B293" s="7" t="s">
        <v>586</v>
      </c>
      <c r="C293" s="8">
        <v>2</v>
      </c>
      <c r="D293" s="9">
        <v>9.25</v>
      </c>
      <c r="E293" s="9">
        <v>18.5</v>
      </c>
      <c r="F293" s="10">
        <v>22.99</v>
      </c>
      <c r="G293" s="9">
        <v>45.98</v>
      </c>
      <c r="H293" s="8" t="s">
        <v>4383</v>
      </c>
      <c r="I293" s="7" t="s">
        <v>3333</v>
      </c>
      <c r="J293" s="11" t="s">
        <v>3186</v>
      </c>
      <c r="K293" s="7" t="s">
        <v>3323</v>
      </c>
      <c r="L293" s="7" t="s">
        <v>3356</v>
      </c>
      <c r="M293" s="12"/>
    </row>
    <row r="294" spans="1:13" ht="15.2" customHeight="1" x14ac:dyDescent="0.2">
      <c r="A294" s="6" t="s">
        <v>1936</v>
      </c>
      <c r="B294" s="7" t="s">
        <v>1937</v>
      </c>
      <c r="C294" s="8">
        <v>2</v>
      </c>
      <c r="D294" s="9">
        <v>9.25</v>
      </c>
      <c r="E294" s="9">
        <v>18.5</v>
      </c>
      <c r="F294" s="10">
        <v>22.99</v>
      </c>
      <c r="G294" s="9">
        <v>45.98</v>
      </c>
      <c r="H294" s="8" t="s">
        <v>4383</v>
      </c>
      <c r="I294" s="7" t="s">
        <v>3333</v>
      </c>
      <c r="J294" s="11" t="s">
        <v>3220</v>
      </c>
      <c r="K294" s="7" t="s">
        <v>3323</v>
      </c>
      <c r="L294" s="7" t="s">
        <v>3356</v>
      </c>
      <c r="M294" s="12"/>
    </row>
    <row r="295" spans="1:13" ht="15.2" customHeight="1" x14ac:dyDescent="0.2">
      <c r="A295" s="6" t="s">
        <v>4386</v>
      </c>
      <c r="B295" s="7" t="s">
        <v>4387</v>
      </c>
      <c r="C295" s="8">
        <v>1</v>
      </c>
      <c r="D295" s="9">
        <v>9.23</v>
      </c>
      <c r="E295" s="9">
        <v>9.23</v>
      </c>
      <c r="F295" s="10">
        <v>21.99</v>
      </c>
      <c r="G295" s="9">
        <v>21.99</v>
      </c>
      <c r="H295" s="8" t="s">
        <v>4042</v>
      </c>
      <c r="I295" s="7" t="s">
        <v>3185</v>
      </c>
      <c r="J295" s="11" t="s">
        <v>3231</v>
      </c>
      <c r="K295" s="7" t="s">
        <v>3300</v>
      </c>
      <c r="L295" s="7" t="s">
        <v>3301</v>
      </c>
      <c r="M295" s="12"/>
    </row>
    <row r="296" spans="1:13" ht="15.2" customHeight="1" x14ac:dyDescent="0.2">
      <c r="A296" s="6" t="s">
        <v>587</v>
      </c>
      <c r="B296" s="7" t="s">
        <v>4041</v>
      </c>
      <c r="C296" s="8">
        <v>1</v>
      </c>
      <c r="D296" s="9">
        <v>9.23</v>
      </c>
      <c r="E296" s="9">
        <v>9.23</v>
      </c>
      <c r="F296" s="10">
        <v>21.99</v>
      </c>
      <c r="G296" s="9">
        <v>21.99</v>
      </c>
      <c r="H296" s="8" t="s">
        <v>4042</v>
      </c>
      <c r="I296" s="7" t="s">
        <v>3185</v>
      </c>
      <c r="J296" s="11" t="s">
        <v>3202</v>
      </c>
      <c r="K296" s="7" t="s">
        <v>3300</v>
      </c>
      <c r="L296" s="7" t="s">
        <v>3301</v>
      </c>
      <c r="M296" s="12"/>
    </row>
    <row r="297" spans="1:13" ht="15.2" customHeight="1" x14ac:dyDescent="0.2">
      <c r="A297" s="6" t="s">
        <v>2022</v>
      </c>
      <c r="B297" s="7" t="s">
        <v>2023</v>
      </c>
      <c r="C297" s="8">
        <v>2</v>
      </c>
      <c r="D297" s="9">
        <v>9.2200000000000006</v>
      </c>
      <c r="E297" s="9">
        <v>18.440000000000001</v>
      </c>
      <c r="F297" s="10">
        <v>21.99</v>
      </c>
      <c r="G297" s="9">
        <v>43.98</v>
      </c>
      <c r="H297" s="8" t="s">
        <v>1942</v>
      </c>
      <c r="I297" s="7" t="s">
        <v>3185</v>
      </c>
      <c r="J297" s="11" t="s">
        <v>3202</v>
      </c>
      <c r="K297" s="7" t="s">
        <v>3300</v>
      </c>
      <c r="L297" s="7" t="s">
        <v>3301</v>
      </c>
      <c r="M297" s="12"/>
    </row>
    <row r="298" spans="1:13" ht="15.2" customHeight="1" x14ac:dyDescent="0.2">
      <c r="A298" s="6" t="s">
        <v>1940</v>
      </c>
      <c r="B298" s="7" t="s">
        <v>1941</v>
      </c>
      <c r="C298" s="8">
        <v>1</v>
      </c>
      <c r="D298" s="9">
        <v>9.2200000000000006</v>
      </c>
      <c r="E298" s="9">
        <v>9.2200000000000006</v>
      </c>
      <c r="F298" s="10">
        <v>21.99</v>
      </c>
      <c r="G298" s="9">
        <v>21.99</v>
      </c>
      <c r="H298" s="8" t="s">
        <v>1942</v>
      </c>
      <c r="I298" s="7" t="s">
        <v>3185</v>
      </c>
      <c r="J298" s="11" t="s">
        <v>3186</v>
      </c>
      <c r="K298" s="7" t="s">
        <v>3300</v>
      </c>
      <c r="L298" s="7" t="s">
        <v>3301</v>
      </c>
      <c r="M298" s="12"/>
    </row>
    <row r="299" spans="1:13" ht="15.2" customHeight="1" x14ac:dyDescent="0.2">
      <c r="A299" s="6" t="s">
        <v>588</v>
      </c>
      <c r="B299" s="7" t="s">
        <v>589</v>
      </c>
      <c r="C299" s="8">
        <v>1</v>
      </c>
      <c r="D299" s="9">
        <v>9.2200000000000006</v>
      </c>
      <c r="E299" s="9">
        <v>9.2200000000000006</v>
      </c>
      <c r="F299" s="10">
        <v>21.99</v>
      </c>
      <c r="G299" s="9">
        <v>21.99</v>
      </c>
      <c r="H299" s="8" t="s">
        <v>2340</v>
      </c>
      <c r="I299" s="7" t="s">
        <v>3185</v>
      </c>
      <c r="J299" s="11" t="s">
        <v>3202</v>
      </c>
      <c r="K299" s="7" t="s">
        <v>3300</v>
      </c>
      <c r="L299" s="7" t="s">
        <v>3301</v>
      </c>
      <c r="M299" s="12"/>
    </row>
    <row r="300" spans="1:13" ht="15.2" customHeight="1" x14ac:dyDescent="0.2">
      <c r="A300" s="6" t="s">
        <v>2345</v>
      </c>
      <c r="B300" s="7" t="s">
        <v>3814</v>
      </c>
      <c r="C300" s="8">
        <v>4</v>
      </c>
      <c r="D300" s="9">
        <v>9.1999999999999993</v>
      </c>
      <c r="E300" s="9">
        <v>36.799999999999997</v>
      </c>
      <c r="F300" s="10">
        <v>21.99</v>
      </c>
      <c r="G300" s="9">
        <v>87.96</v>
      </c>
      <c r="H300" s="8" t="s">
        <v>3815</v>
      </c>
      <c r="I300" s="7" t="s">
        <v>3185</v>
      </c>
      <c r="J300" s="11" t="s">
        <v>3231</v>
      </c>
      <c r="K300" s="7" t="s">
        <v>3300</v>
      </c>
      <c r="L300" s="7" t="s">
        <v>3301</v>
      </c>
      <c r="M300" s="12"/>
    </row>
    <row r="301" spans="1:13" ht="15.2" customHeight="1" x14ac:dyDescent="0.2">
      <c r="A301" s="6" t="s">
        <v>590</v>
      </c>
      <c r="B301" s="7" t="s">
        <v>3814</v>
      </c>
      <c r="C301" s="8">
        <v>3</v>
      </c>
      <c r="D301" s="9">
        <v>9.1999999999999993</v>
      </c>
      <c r="E301" s="9">
        <v>27.6</v>
      </c>
      <c r="F301" s="10">
        <v>21.99</v>
      </c>
      <c r="G301" s="9">
        <v>65.97</v>
      </c>
      <c r="H301" s="8" t="s">
        <v>3815</v>
      </c>
      <c r="I301" s="7" t="s">
        <v>3185</v>
      </c>
      <c r="J301" s="11" t="s">
        <v>3202</v>
      </c>
      <c r="K301" s="7" t="s">
        <v>3300</v>
      </c>
      <c r="L301" s="7" t="s">
        <v>3301</v>
      </c>
      <c r="M301" s="12"/>
    </row>
    <row r="302" spans="1:13" ht="15.2" customHeight="1" x14ac:dyDescent="0.2">
      <c r="A302" s="6" t="s">
        <v>2344</v>
      </c>
      <c r="B302" s="7" t="s">
        <v>4046</v>
      </c>
      <c r="C302" s="8">
        <v>1</v>
      </c>
      <c r="D302" s="9">
        <v>9.1999999999999993</v>
      </c>
      <c r="E302" s="9">
        <v>9.1999999999999993</v>
      </c>
      <c r="F302" s="10">
        <v>21.99</v>
      </c>
      <c r="G302" s="9">
        <v>21.99</v>
      </c>
      <c r="H302" s="8" t="s">
        <v>4047</v>
      </c>
      <c r="I302" s="7" t="s">
        <v>3185</v>
      </c>
      <c r="J302" s="11" t="s">
        <v>3186</v>
      </c>
      <c r="K302" s="7" t="s">
        <v>3300</v>
      </c>
      <c r="L302" s="7" t="s">
        <v>3301</v>
      </c>
      <c r="M302" s="12"/>
    </row>
    <row r="303" spans="1:13" ht="15.2" customHeight="1" x14ac:dyDescent="0.2">
      <c r="A303" s="6" t="s">
        <v>591</v>
      </c>
      <c r="B303" s="7" t="s">
        <v>4198</v>
      </c>
      <c r="C303" s="8">
        <v>1</v>
      </c>
      <c r="D303" s="9">
        <v>9.19</v>
      </c>
      <c r="E303" s="9">
        <v>9.19</v>
      </c>
      <c r="F303" s="10">
        <v>21.99</v>
      </c>
      <c r="G303" s="9">
        <v>21.99</v>
      </c>
      <c r="H303" s="8" t="s">
        <v>4199</v>
      </c>
      <c r="I303" s="7" t="s">
        <v>3216</v>
      </c>
      <c r="J303" s="11" t="s">
        <v>3202</v>
      </c>
      <c r="K303" s="7" t="s">
        <v>3300</v>
      </c>
      <c r="L303" s="7" t="s">
        <v>3301</v>
      </c>
      <c r="M303" s="12"/>
    </row>
    <row r="304" spans="1:13" ht="15.2" customHeight="1" x14ac:dyDescent="0.2">
      <c r="A304" s="6" t="s">
        <v>4197</v>
      </c>
      <c r="B304" s="7" t="s">
        <v>4198</v>
      </c>
      <c r="C304" s="8">
        <v>1</v>
      </c>
      <c r="D304" s="9">
        <v>9.19</v>
      </c>
      <c r="E304" s="9">
        <v>9.19</v>
      </c>
      <c r="F304" s="10">
        <v>21.99</v>
      </c>
      <c r="G304" s="9">
        <v>21.99</v>
      </c>
      <c r="H304" s="8" t="s">
        <v>4199</v>
      </c>
      <c r="I304" s="7" t="s">
        <v>3216</v>
      </c>
      <c r="J304" s="11" t="s">
        <v>3186</v>
      </c>
      <c r="K304" s="7" t="s">
        <v>3300</v>
      </c>
      <c r="L304" s="7" t="s">
        <v>3301</v>
      </c>
      <c r="M304" s="12"/>
    </row>
    <row r="305" spans="1:13" ht="15.2" customHeight="1" x14ac:dyDescent="0.2">
      <c r="A305" s="6" t="s">
        <v>1756</v>
      </c>
      <c r="B305" s="7" t="s">
        <v>1757</v>
      </c>
      <c r="C305" s="8">
        <v>2</v>
      </c>
      <c r="D305" s="9">
        <v>8.5</v>
      </c>
      <c r="E305" s="9">
        <v>17</v>
      </c>
      <c r="F305" s="10">
        <v>19.989999999999998</v>
      </c>
      <c r="G305" s="9">
        <v>39.979999999999997</v>
      </c>
      <c r="H305" s="8" t="s">
        <v>1758</v>
      </c>
      <c r="I305" s="7" t="s">
        <v>3386</v>
      </c>
      <c r="J305" s="11" t="s">
        <v>3202</v>
      </c>
      <c r="K305" s="7" t="s">
        <v>3387</v>
      </c>
      <c r="L305" s="7" t="s">
        <v>3429</v>
      </c>
      <c r="M305" s="12"/>
    </row>
    <row r="306" spans="1:13" ht="15.2" customHeight="1" x14ac:dyDescent="0.2">
      <c r="A306" s="6" t="s">
        <v>1838</v>
      </c>
      <c r="B306" s="7" t="s">
        <v>1839</v>
      </c>
      <c r="C306" s="8">
        <v>1</v>
      </c>
      <c r="D306" s="9">
        <v>8.5</v>
      </c>
      <c r="E306" s="9">
        <v>8.5</v>
      </c>
      <c r="F306" s="10">
        <v>19.989999999999998</v>
      </c>
      <c r="G306" s="9">
        <v>19.989999999999998</v>
      </c>
      <c r="H306" s="8" t="s">
        <v>1758</v>
      </c>
      <c r="I306" s="7" t="s">
        <v>3386</v>
      </c>
      <c r="J306" s="11" t="s">
        <v>3186</v>
      </c>
      <c r="K306" s="7" t="s">
        <v>3387</v>
      </c>
      <c r="L306" s="7" t="s">
        <v>3429</v>
      </c>
      <c r="M306" s="12"/>
    </row>
    <row r="307" spans="1:13" ht="15.2" customHeight="1" x14ac:dyDescent="0.2">
      <c r="A307" s="6" t="s">
        <v>1953</v>
      </c>
      <c r="B307" s="7" t="s">
        <v>1954</v>
      </c>
      <c r="C307" s="8">
        <v>4</v>
      </c>
      <c r="D307" s="9">
        <v>8.5</v>
      </c>
      <c r="E307" s="9">
        <v>34</v>
      </c>
      <c r="F307" s="10">
        <v>19.989999999999998</v>
      </c>
      <c r="G307" s="9">
        <v>79.959999999999994</v>
      </c>
      <c r="H307" s="8" t="s">
        <v>1655</v>
      </c>
      <c r="I307" s="7" t="s">
        <v>3339</v>
      </c>
      <c r="J307" s="11" t="s">
        <v>3202</v>
      </c>
      <c r="K307" s="7" t="s">
        <v>3387</v>
      </c>
      <c r="L307" s="7" t="s">
        <v>3388</v>
      </c>
      <c r="M307" s="12"/>
    </row>
    <row r="308" spans="1:13" ht="15.2" customHeight="1" x14ac:dyDescent="0.2">
      <c r="A308" s="6" t="s">
        <v>3577</v>
      </c>
      <c r="B308" s="7" t="s">
        <v>3578</v>
      </c>
      <c r="C308" s="8">
        <v>2</v>
      </c>
      <c r="D308" s="9">
        <v>8.5</v>
      </c>
      <c r="E308" s="9">
        <v>17</v>
      </c>
      <c r="F308" s="10">
        <v>19.989999999999998</v>
      </c>
      <c r="G308" s="9">
        <v>39.979999999999997</v>
      </c>
      <c r="H308" s="8" t="s">
        <v>3579</v>
      </c>
      <c r="I308" s="7" t="s">
        <v>3214</v>
      </c>
      <c r="J308" s="11" t="s">
        <v>3231</v>
      </c>
      <c r="K308" s="7" t="s">
        <v>3387</v>
      </c>
      <c r="L308" s="7" t="s">
        <v>3404</v>
      </c>
      <c r="M308" s="12"/>
    </row>
    <row r="309" spans="1:13" ht="15.2" customHeight="1" x14ac:dyDescent="0.2">
      <c r="A309" s="6" t="s">
        <v>2092</v>
      </c>
      <c r="B309" s="7" t="s">
        <v>2093</v>
      </c>
      <c r="C309" s="8">
        <v>2</v>
      </c>
      <c r="D309" s="9">
        <v>8.5</v>
      </c>
      <c r="E309" s="9">
        <v>17</v>
      </c>
      <c r="F309" s="10">
        <v>19.989999999999998</v>
      </c>
      <c r="G309" s="9">
        <v>39.979999999999997</v>
      </c>
      <c r="H309" s="8" t="s">
        <v>1837</v>
      </c>
      <c r="I309" s="7" t="s">
        <v>3185</v>
      </c>
      <c r="J309" s="11" t="s">
        <v>3186</v>
      </c>
      <c r="K309" s="7" t="s">
        <v>3323</v>
      </c>
      <c r="L309" s="7" t="s">
        <v>3418</v>
      </c>
      <c r="M309" s="12"/>
    </row>
    <row r="310" spans="1:13" ht="15.2" customHeight="1" x14ac:dyDescent="0.2">
      <c r="A310" s="6" t="s">
        <v>592</v>
      </c>
      <c r="B310" s="7" t="s">
        <v>593</v>
      </c>
      <c r="C310" s="8">
        <v>1</v>
      </c>
      <c r="D310" s="9">
        <v>8.5</v>
      </c>
      <c r="E310" s="9">
        <v>8.5</v>
      </c>
      <c r="F310" s="10">
        <v>19.989999999999998</v>
      </c>
      <c r="G310" s="9">
        <v>19.989999999999998</v>
      </c>
      <c r="H310" s="8" t="s">
        <v>1837</v>
      </c>
      <c r="I310" s="7" t="s">
        <v>3185</v>
      </c>
      <c r="J310" s="11" t="s">
        <v>3220</v>
      </c>
      <c r="K310" s="7" t="s">
        <v>3323</v>
      </c>
      <c r="L310" s="7" t="s">
        <v>3418</v>
      </c>
      <c r="M310" s="12"/>
    </row>
    <row r="311" spans="1:13" ht="15.2" customHeight="1" x14ac:dyDescent="0.2">
      <c r="A311" s="6" t="s">
        <v>594</v>
      </c>
      <c r="B311" s="7" t="s">
        <v>595</v>
      </c>
      <c r="C311" s="8">
        <v>2</v>
      </c>
      <c r="D311" s="9">
        <v>8.5</v>
      </c>
      <c r="E311" s="9">
        <v>17</v>
      </c>
      <c r="F311" s="10">
        <v>19.989999999999998</v>
      </c>
      <c r="G311" s="9">
        <v>39.979999999999997</v>
      </c>
      <c r="H311" s="8" t="s">
        <v>1759</v>
      </c>
      <c r="I311" s="7" t="s">
        <v>3681</v>
      </c>
      <c r="J311" s="11" t="s">
        <v>3220</v>
      </c>
      <c r="K311" s="7" t="s">
        <v>3323</v>
      </c>
      <c r="L311" s="7" t="s">
        <v>3418</v>
      </c>
      <c r="M311" s="12"/>
    </row>
    <row r="312" spans="1:13" ht="15.2" customHeight="1" x14ac:dyDescent="0.2">
      <c r="A312" s="6" t="s">
        <v>596</v>
      </c>
      <c r="B312" s="7" t="s">
        <v>597</v>
      </c>
      <c r="C312" s="8">
        <v>1</v>
      </c>
      <c r="D312" s="9">
        <v>8.5</v>
      </c>
      <c r="E312" s="9">
        <v>8.5</v>
      </c>
      <c r="F312" s="10">
        <v>19.989999999999998</v>
      </c>
      <c r="G312" s="9">
        <v>19.989999999999998</v>
      </c>
      <c r="H312" s="8" t="s">
        <v>1837</v>
      </c>
      <c r="I312" s="7" t="s">
        <v>3390</v>
      </c>
      <c r="J312" s="11" t="s">
        <v>3220</v>
      </c>
      <c r="K312" s="7" t="s">
        <v>3323</v>
      </c>
      <c r="L312" s="7" t="s">
        <v>3418</v>
      </c>
      <c r="M312" s="12"/>
    </row>
    <row r="313" spans="1:13" ht="15.2" customHeight="1" x14ac:dyDescent="0.2">
      <c r="A313" s="6" t="s">
        <v>598</v>
      </c>
      <c r="B313" s="7" t="s">
        <v>599</v>
      </c>
      <c r="C313" s="8">
        <v>1</v>
      </c>
      <c r="D313" s="9">
        <v>8.5</v>
      </c>
      <c r="E313" s="9">
        <v>8.5</v>
      </c>
      <c r="F313" s="10">
        <v>19.989999999999998</v>
      </c>
      <c r="G313" s="9">
        <v>19.989999999999998</v>
      </c>
      <c r="H313" s="8" t="s">
        <v>1837</v>
      </c>
      <c r="I313" s="7" t="s">
        <v>3234</v>
      </c>
      <c r="J313" s="11" t="s">
        <v>3186</v>
      </c>
      <c r="K313" s="7" t="s">
        <v>3323</v>
      </c>
      <c r="L313" s="7" t="s">
        <v>3418</v>
      </c>
      <c r="M313" s="12"/>
    </row>
    <row r="314" spans="1:13" ht="15.2" customHeight="1" x14ac:dyDescent="0.2">
      <c r="A314" s="6" t="s">
        <v>1951</v>
      </c>
      <c r="B314" s="7" t="s">
        <v>1952</v>
      </c>
      <c r="C314" s="8">
        <v>2</v>
      </c>
      <c r="D314" s="9">
        <v>8.5</v>
      </c>
      <c r="E314" s="9">
        <v>17</v>
      </c>
      <c r="F314" s="10">
        <v>19.989999999999998</v>
      </c>
      <c r="G314" s="9">
        <v>39.979999999999997</v>
      </c>
      <c r="H314" s="8" t="s">
        <v>1647</v>
      </c>
      <c r="I314" s="7" t="s">
        <v>3207</v>
      </c>
      <c r="J314" s="11" t="s">
        <v>3186</v>
      </c>
      <c r="K314" s="7" t="s">
        <v>3323</v>
      </c>
      <c r="L314" s="7" t="s">
        <v>3371</v>
      </c>
      <c r="M314" s="12"/>
    </row>
    <row r="315" spans="1:13" ht="15.2" customHeight="1" x14ac:dyDescent="0.2">
      <c r="A315" s="6" t="s">
        <v>600</v>
      </c>
      <c r="B315" s="7" t="s">
        <v>601</v>
      </c>
      <c r="C315" s="8">
        <v>2</v>
      </c>
      <c r="D315" s="9">
        <v>8.5</v>
      </c>
      <c r="E315" s="9">
        <v>17</v>
      </c>
      <c r="F315" s="10">
        <v>19.989999999999998</v>
      </c>
      <c r="G315" s="9">
        <v>39.979999999999997</v>
      </c>
      <c r="H315" s="8" t="s">
        <v>1647</v>
      </c>
      <c r="I315" s="7" t="s">
        <v>3286</v>
      </c>
      <c r="J315" s="11" t="s">
        <v>3231</v>
      </c>
      <c r="K315" s="7" t="s">
        <v>3323</v>
      </c>
      <c r="L315" s="7" t="s">
        <v>3371</v>
      </c>
      <c r="M315" s="12"/>
    </row>
    <row r="316" spans="1:13" ht="15.2" customHeight="1" x14ac:dyDescent="0.2">
      <c r="A316" s="6" t="s">
        <v>1760</v>
      </c>
      <c r="B316" s="7" t="s">
        <v>1761</v>
      </c>
      <c r="C316" s="8">
        <v>3</v>
      </c>
      <c r="D316" s="9">
        <v>8.5</v>
      </c>
      <c r="E316" s="9">
        <v>25.5</v>
      </c>
      <c r="F316" s="10">
        <v>19.989999999999998</v>
      </c>
      <c r="G316" s="9">
        <v>59.97</v>
      </c>
      <c r="H316" s="8" t="s">
        <v>1647</v>
      </c>
      <c r="I316" s="7" t="s">
        <v>3286</v>
      </c>
      <c r="J316" s="11" t="s">
        <v>3186</v>
      </c>
      <c r="K316" s="7" t="s">
        <v>3323</v>
      </c>
      <c r="L316" s="7" t="s">
        <v>3371</v>
      </c>
      <c r="M316" s="12"/>
    </row>
    <row r="317" spans="1:13" ht="15.2" customHeight="1" x14ac:dyDescent="0.2">
      <c r="A317" s="6" t="s">
        <v>602</v>
      </c>
      <c r="B317" s="7" t="s">
        <v>603</v>
      </c>
      <c r="C317" s="8">
        <v>1</v>
      </c>
      <c r="D317" s="9">
        <v>8.5</v>
      </c>
      <c r="E317" s="9">
        <v>8.5</v>
      </c>
      <c r="F317" s="10">
        <v>19.989999999999998</v>
      </c>
      <c r="G317" s="9">
        <v>19.989999999999998</v>
      </c>
      <c r="H317" s="8" t="s">
        <v>1759</v>
      </c>
      <c r="I317" s="7" t="s">
        <v>3390</v>
      </c>
      <c r="J317" s="11" t="s">
        <v>3186</v>
      </c>
      <c r="K317" s="7" t="s">
        <v>3323</v>
      </c>
      <c r="L317" s="7" t="s">
        <v>3418</v>
      </c>
      <c r="M317" s="12"/>
    </row>
    <row r="318" spans="1:13" ht="15.2" customHeight="1" x14ac:dyDescent="0.2">
      <c r="A318" s="6" t="s">
        <v>1947</v>
      </c>
      <c r="B318" s="7" t="s">
        <v>1948</v>
      </c>
      <c r="C318" s="8">
        <v>1</v>
      </c>
      <c r="D318" s="9">
        <v>8.5</v>
      </c>
      <c r="E318" s="9">
        <v>8.5</v>
      </c>
      <c r="F318" s="10">
        <v>19.989999999999998</v>
      </c>
      <c r="G318" s="9">
        <v>19.989999999999998</v>
      </c>
      <c r="H318" s="8" t="s">
        <v>1647</v>
      </c>
      <c r="I318" s="7" t="s">
        <v>3207</v>
      </c>
      <c r="J318" s="11" t="s">
        <v>3231</v>
      </c>
      <c r="K318" s="7" t="s">
        <v>3323</v>
      </c>
      <c r="L318" s="7" t="s">
        <v>3371</v>
      </c>
      <c r="M318" s="12"/>
    </row>
    <row r="319" spans="1:13" ht="15.2" customHeight="1" x14ac:dyDescent="0.2">
      <c r="A319" s="6" t="s">
        <v>604</v>
      </c>
      <c r="B319" s="7" t="s">
        <v>605</v>
      </c>
      <c r="C319" s="8">
        <v>1</v>
      </c>
      <c r="D319" s="9">
        <v>8.5</v>
      </c>
      <c r="E319" s="9">
        <v>8.5</v>
      </c>
      <c r="F319" s="10">
        <v>19.989999999999998</v>
      </c>
      <c r="G319" s="9">
        <v>19.989999999999998</v>
      </c>
      <c r="H319" s="8" t="s">
        <v>1647</v>
      </c>
      <c r="I319" s="7" t="s">
        <v>3286</v>
      </c>
      <c r="J319" s="11" t="s">
        <v>3242</v>
      </c>
      <c r="K319" s="7" t="s">
        <v>3323</v>
      </c>
      <c r="L319" s="7" t="s">
        <v>3371</v>
      </c>
      <c r="M319" s="12"/>
    </row>
    <row r="320" spans="1:13" ht="15.2" customHeight="1" x14ac:dyDescent="0.2">
      <c r="A320" s="6" t="s">
        <v>606</v>
      </c>
      <c r="B320" s="7" t="s">
        <v>607</v>
      </c>
      <c r="C320" s="8">
        <v>1</v>
      </c>
      <c r="D320" s="9">
        <v>8.5</v>
      </c>
      <c r="E320" s="9">
        <v>8.5</v>
      </c>
      <c r="F320" s="10">
        <v>19.989999999999998</v>
      </c>
      <c r="G320" s="9">
        <v>19.989999999999998</v>
      </c>
      <c r="H320" s="8" t="s">
        <v>1837</v>
      </c>
      <c r="I320" s="7" t="s">
        <v>3234</v>
      </c>
      <c r="J320" s="11" t="s">
        <v>3202</v>
      </c>
      <c r="K320" s="7" t="s">
        <v>3323</v>
      </c>
      <c r="L320" s="7" t="s">
        <v>3418</v>
      </c>
      <c r="M320" s="12"/>
    </row>
    <row r="321" spans="1:13" ht="15.2" customHeight="1" x14ac:dyDescent="0.2">
      <c r="A321" s="6" t="s">
        <v>608</v>
      </c>
      <c r="B321" s="7" t="s">
        <v>609</v>
      </c>
      <c r="C321" s="8">
        <v>1</v>
      </c>
      <c r="D321" s="9">
        <v>8.5</v>
      </c>
      <c r="E321" s="9">
        <v>8.5</v>
      </c>
      <c r="F321" s="10">
        <v>19.989999999999998</v>
      </c>
      <c r="G321" s="9">
        <v>19.989999999999998</v>
      </c>
      <c r="H321" s="8" t="s">
        <v>1759</v>
      </c>
      <c r="I321" s="7" t="s">
        <v>3681</v>
      </c>
      <c r="J321" s="11" t="s">
        <v>3186</v>
      </c>
      <c r="K321" s="7" t="s">
        <v>3323</v>
      </c>
      <c r="L321" s="7" t="s">
        <v>3418</v>
      </c>
      <c r="M321" s="12"/>
    </row>
    <row r="322" spans="1:13" ht="15.2" customHeight="1" x14ac:dyDescent="0.2">
      <c r="A322" s="6" t="s">
        <v>1648</v>
      </c>
      <c r="B322" s="7" t="s">
        <v>1649</v>
      </c>
      <c r="C322" s="8">
        <v>4</v>
      </c>
      <c r="D322" s="9">
        <v>8.5</v>
      </c>
      <c r="E322" s="9">
        <v>34</v>
      </c>
      <c r="F322" s="10">
        <v>19.989999999999998</v>
      </c>
      <c r="G322" s="9">
        <v>79.959999999999994</v>
      </c>
      <c r="H322" s="8" t="s">
        <v>1650</v>
      </c>
      <c r="I322" s="7" t="s">
        <v>3185</v>
      </c>
      <c r="J322" s="11" t="s">
        <v>3202</v>
      </c>
      <c r="K322" s="7" t="s">
        <v>3387</v>
      </c>
      <c r="L322" s="7" t="s">
        <v>3388</v>
      </c>
      <c r="M322" s="12"/>
    </row>
    <row r="323" spans="1:13" ht="15.2" customHeight="1" x14ac:dyDescent="0.2">
      <c r="A323" s="6" t="s">
        <v>1651</v>
      </c>
      <c r="B323" s="7" t="s">
        <v>1652</v>
      </c>
      <c r="C323" s="8">
        <v>2</v>
      </c>
      <c r="D323" s="9">
        <v>8.5</v>
      </c>
      <c r="E323" s="9">
        <v>17</v>
      </c>
      <c r="F323" s="10">
        <v>19.989999999999998</v>
      </c>
      <c r="G323" s="9">
        <v>39.979999999999997</v>
      </c>
      <c r="H323" s="8" t="s">
        <v>1650</v>
      </c>
      <c r="I323" s="7" t="s">
        <v>3185</v>
      </c>
      <c r="J323" s="11" t="s">
        <v>3242</v>
      </c>
      <c r="K323" s="7" t="s">
        <v>3387</v>
      </c>
      <c r="L323" s="7" t="s">
        <v>3388</v>
      </c>
      <c r="M323" s="12"/>
    </row>
    <row r="324" spans="1:13" ht="15.2" customHeight="1" x14ac:dyDescent="0.2">
      <c r="A324" s="6" t="s">
        <v>1768</v>
      </c>
      <c r="B324" s="7" t="s">
        <v>1769</v>
      </c>
      <c r="C324" s="8">
        <v>4</v>
      </c>
      <c r="D324" s="9">
        <v>8.5</v>
      </c>
      <c r="E324" s="9">
        <v>34</v>
      </c>
      <c r="F324" s="10">
        <v>19.989999999999998</v>
      </c>
      <c r="G324" s="9">
        <v>79.959999999999994</v>
      </c>
      <c r="H324" s="8" t="s">
        <v>1655</v>
      </c>
      <c r="I324" s="7" t="s">
        <v>3339</v>
      </c>
      <c r="J324" s="11" t="s">
        <v>3231</v>
      </c>
      <c r="K324" s="7" t="s">
        <v>3387</v>
      </c>
      <c r="L324" s="7" t="s">
        <v>3388</v>
      </c>
      <c r="M324" s="12"/>
    </row>
    <row r="325" spans="1:13" ht="15.2" customHeight="1" x14ac:dyDescent="0.2">
      <c r="A325" s="6" t="s">
        <v>610</v>
      </c>
      <c r="B325" s="7" t="s">
        <v>611</v>
      </c>
      <c r="C325" s="8">
        <v>1</v>
      </c>
      <c r="D325" s="9">
        <v>8.5</v>
      </c>
      <c r="E325" s="9">
        <v>8.5</v>
      </c>
      <c r="F325" s="10">
        <v>19.989999999999998</v>
      </c>
      <c r="G325" s="9">
        <v>19.989999999999998</v>
      </c>
      <c r="H325" s="8" t="s">
        <v>1650</v>
      </c>
      <c r="I325" s="7" t="s">
        <v>3185</v>
      </c>
      <c r="J325" s="11" t="s">
        <v>3220</v>
      </c>
      <c r="K325" s="7" t="s">
        <v>3387</v>
      </c>
      <c r="L325" s="7" t="s">
        <v>3388</v>
      </c>
      <c r="M325" s="12"/>
    </row>
    <row r="326" spans="1:13" ht="15.2" customHeight="1" x14ac:dyDescent="0.2">
      <c r="A326" s="6" t="s">
        <v>612</v>
      </c>
      <c r="B326" s="7" t="s">
        <v>613</v>
      </c>
      <c r="C326" s="8">
        <v>1</v>
      </c>
      <c r="D326" s="9">
        <v>8.5</v>
      </c>
      <c r="E326" s="9">
        <v>8.5</v>
      </c>
      <c r="F326" s="10">
        <v>19.989999999999998</v>
      </c>
      <c r="G326" s="9">
        <v>19.989999999999998</v>
      </c>
      <c r="H326" s="8" t="s">
        <v>1758</v>
      </c>
      <c r="I326" s="7" t="s">
        <v>3386</v>
      </c>
      <c r="J326" s="11" t="s">
        <v>3242</v>
      </c>
      <c r="K326" s="7" t="s">
        <v>3387</v>
      </c>
      <c r="L326" s="7" t="s">
        <v>3429</v>
      </c>
      <c r="M326" s="12"/>
    </row>
    <row r="327" spans="1:13" ht="15.2" customHeight="1" x14ac:dyDescent="0.2">
      <c r="A327" s="6" t="s">
        <v>1766</v>
      </c>
      <c r="B327" s="7" t="s">
        <v>1767</v>
      </c>
      <c r="C327" s="8">
        <v>2</v>
      </c>
      <c r="D327" s="9">
        <v>8.5</v>
      </c>
      <c r="E327" s="9">
        <v>17</v>
      </c>
      <c r="F327" s="10">
        <v>19.989999999999998</v>
      </c>
      <c r="G327" s="9">
        <v>39.979999999999997</v>
      </c>
      <c r="H327" s="8" t="s">
        <v>1650</v>
      </c>
      <c r="I327" s="7" t="s">
        <v>3185</v>
      </c>
      <c r="J327" s="11" t="s">
        <v>3186</v>
      </c>
      <c r="K327" s="7" t="s">
        <v>3387</v>
      </c>
      <c r="L327" s="7" t="s">
        <v>3388</v>
      </c>
      <c r="M327" s="12"/>
    </row>
    <row r="328" spans="1:13" ht="15.2" customHeight="1" x14ac:dyDescent="0.2">
      <c r="A328" s="6" t="s">
        <v>1543</v>
      </c>
      <c r="B328" s="7" t="s">
        <v>1544</v>
      </c>
      <c r="C328" s="8">
        <v>1</v>
      </c>
      <c r="D328" s="9">
        <v>8.5</v>
      </c>
      <c r="E328" s="9">
        <v>8.5</v>
      </c>
      <c r="F328" s="10">
        <v>19.989999999999998</v>
      </c>
      <c r="G328" s="9">
        <v>19.989999999999998</v>
      </c>
      <c r="H328" s="8" t="s">
        <v>3574</v>
      </c>
      <c r="I328" s="7" t="s">
        <v>3214</v>
      </c>
      <c r="J328" s="11" t="s">
        <v>3231</v>
      </c>
      <c r="K328" s="7" t="s">
        <v>3387</v>
      </c>
      <c r="L328" s="7" t="s">
        <v>3404</v>
      </c>
      <c r="M328" s="12"/>
    </row>
    <row r="329" spans="1:13" ht="15.2" customHeight="1" x14ac:dyDescent="0.2">
      <c r="A329" s="6" t="s">
        <v>1943</v>
      </c>
      <c r="B329" s="7" t="s">
        <v>1944</v>
      </c>
      <c r="C329" s="8">
        <v>5</v>
      </c>
      <c r="D329" s="9">
        <v>8.5</v>
      </c>
      <c r="E329" s="9">
        <v>42.5</v>
      </c>
      <c r="F329" s="10">
        <v>19.989999999999998</v>
      </c>
      <c r="G329" s="9">
        <v>99.95</v>
      </c>
      <c r="H329" s="8" t="s">
        <v>1655</v>
      </c>
      <c r="I329" s="7" t="s">
        <v>3339</v>
      </c>
      <c r="J329" s="11" t="s">
        <v>3220</v>
      </c>
      <c r="K329" s="7" t="s">
        <v>3387</v>
      </c>
      <c r="L329" s="7" t="s">
        <v>3388</v>
      </c>
      <c r="M329" s="12"/>
    </row>
    <row r="330" spans="1:13" ht="15.2" customHeight="1" x14ac:dyDescent="0.2">
      <c r="A330" s="6" t="s">
        <v>1764</v>
      </c>
      <c r="B330" s="7" t="s">
        <v>1765</v>
      </c>
      <c r="C330" s="8">
        <v>2</v>
      </c>
      <c r="D330" s="9">
        <v>8.5</v>
      </c>
      <c r="E330" s="9">
        <v>17</v>
      </c>
      <c r="F330" s="10">
        <v>19.989999999999998</v>
      </c>
      <c r="G330" s="9">
        <v>39.979999999999997</v>
      </c>
      <c r="H330" s="8" t="s">
        <v>1655</v>
      </c>
      <c r="I330" s="7" t="s">
        <v>3339</v>
      </c>
      <c r="J330" s="11" t="s">
        <v>3242</v>
      </c>
      <c r="K330" s="7" t="s">
        <v>3387</v>
      </c>
      <c r="L330" s="7" t="s">
        <v>3388</v>
      </c>
      <c r="M330" s="12"/>
    </row>
    <row r="331" spans="1:13" ht="15.2" customHeight="1" x14ac:dyDescent="0.2">
      <c r="A331" s="6" t="s">
        <v>1653</v>
      </c>
      <c r="B331" s="7" t="s">
        <v>1654</v>
      </c>
      <c r="C331" s="8">
        <v>6</v>
      </c>
      <c r="D331" s="9">
        <v>8.5</v>
      </c>
      <c r="E331" s="9">
        <v>51</v>
      </c>
      <c r="F331" s="10">
        <v>19.989999999999998</v>
      </c>
      <c r="G331" s="9">
        <v>119.94</v>
      </c>
      <c r="H331" s="8" t="s">
        <v>1655</v>
      </c>
      <c r="I331" s="7" t="s">
        <v>3339</v>
      </c>
      <c r="J331" s="11" t="s">
        <v>3186</v>
      </c>
      <c r="K331" s="7" t="s">
        <v>3387</v>
      </c>
      <c r="L331" s="7" t="s">
        <v>3388</v>
      </c>
      <c r="M331" s="12"/>
    </row>
    <row r="332" spans="1:13" ht="15.2" customHeight="1" x14ac:dyDescent="0.2">
      <c r="A332" s="6" t="s">
        <v>614</v>
      </c>
      <c r="B332" s="7" t="s">
        <v>615</v>
      </c>
      <c r="C332" s="8">
        <v>1</v>
      </c>
      <c r="D332" s="9">
        <v>8.25</v>
      </c>
      <c r="E332" s="9">
        <v>8.25</v>
      </c>
      <c r="F332" s="10">
        <v>19.989999999999998</v>
      </c>
      <c r="G332" s="9">
        <v>19.989999999999998</v>
      </c>
      <c r="H332" s="8" t="s">
        <v>1549</v>
      </c>
      <c r="I332" s="7" t="s">
        <v>3428</v>
      </c>
      <c r="J332" s="11" t="s">
        <v>3202</v>
      </c>
      <c r="K332" s="7" t="s">
        <v>3323</v>
      </c>
      <c r="L332" s="7" t="s">
        <v>3407</v>
      </c>
      <c r="M332" s="12"/>
    </row>
    <row r="333" spans="1:13" ht="15.2" customHeight="1" x14ac:dyDescent="0.2">
      <c r="A333" s="6" t="s">
        <v>1955</v>
      </c>
      <c r="B333" s="7" t="s">
        <v>1956</v>
      </c>
      <c r="C333" s="8">
        <v>1</v>
      </c>
      <c r="D333" s="9">
        <v>8.25</v>
      </c>
      <c r="E333" s="9">
        <v>8.25</v>
      </c>
      <c r="F333" s="10">
        <v>19.989999999999998</v>
      </c>
      <c r="G333" s="9">
        <v>19.989999999999998</v>
      </c>
      <c r="H333" s="8" t="s">
        <v>1840</v>
      </c>
      <c r="I333" s="7" t="s">
        <v>3207</v>
      </c>
      <c r="J333" s="11" t="s">
        <v>3220</v>
      </c>
      <c r="K333" s="7" t="s">
        <v>3323</v>
      </c>
      <c r="L333" s="7" t="s">
        <v>3407</v>
      </c>
      <c r="M333" s="12"/>
    </row>
    <row r="334" spans="1:13" ht="15.2" customHeight="1" x14ac:dyDescent="0.2">
      <c r="A334" s="6" t="s">
        <v>1957</v>
      </c>
      <c r="B334" s="7" t="s">
        <v>1958</v>
      </c>
      <c r="C334" s="8">
        <v>1</v>
      </c>
      <c r="D334" s="9">
        <v>8.25</v>
      </c>
      <c r="E334" s="9">
        <v>8.25</v>
      </c>
      <c r="F334" s="10">
        <v>22.99</v>
      </c>
      <c r="G334" s="9">
        <v>22.99</v>
      </c>
      <c r="H334" s="8" t="s">
        <v>4048</v>
      </c>
      <c r="I334" s="7" t="s">
        <v>3210</v>
      </c>
      <c r="J334" s="11" t="s">
        <v>3340</v>
      </c>
      <c r="K334" s="7" t="s">
        <v>3326</v>
      </c>
      <c r="L334" s="7" t="s">
        <v>3869</v>
      </c>
      <c r="M334" s="12"/>
    </row>
    <row r="335" spans="1:13" ht="15.2" customHeight="1" x14ac:dyDescent="0.2">
      <c r="A335" s="6" t="s">
        <v>616</v>
      </c>
      <c r="B335" s="7" t="s">
        <v>617</v>
      </c>
      <c r="C335" s="8">
        <v>1</v>
      </c>
      <c r="D335" s="9">
        <v>8.15</v>
      </c>
      <c r="E335" s="9">
        <v>8.15</v>
      </c>
      <c r="F335" s="10">
        <v>19.989999999999998</v>
      </c>
      <c r="G335" s="9">
        <v>19.989999999999998</v>
      </c>
      <c r="H335" s="8">
        <v>60453500</v>
      </c>
      <c r="I335" s="7" t="s">
        <v>3214</v>
      </c>
      <c r="J335" s="11" t="s">
        <v>3202</v>
      </c>
      <c r="K335" s="7" t="s">
        <v>3334</v>
      </c>
      <c r="L335" s="7" t="s">
        <v>3368</v>
      </c>
      <c r="M335" s="12"/>
    </row>
    <row r="336" spans="1:13" ht="15.2" customHeight="1" x14ac:dyDescent="0.2">
      <c r="A336" s="6" t="s">
        <v>618</v>
      </c>
      <c r="B336" s="7" t="s">
        <v>619</v>
      </c>
      <c r="C336" s="8">
        <v>1</v>
      </c>
      <c r="D336" s="9">
        <v>8.15</v>
      </c>
      <c r="E336" s="9">
        <v>8.15</v>
      </c>
      <c r="F336" s="10">
        <v>19.989999999999998</v>
      </c>
      <c r="G336" s="9">
        <v>19.989999999999998</v>
      </c>
      <c r="H336" s="8">
        <v>60453500</v>
      </c>
      <c r="I336" s="7" t="s">
        <v>3185</v>
      </c>
      <c r="J336" s="11" t="s">
        <v>3186</v>
      </c>
      <c r="K336" s="7" t="s">
        <v>3334</v>
      </c>
      <c r="L336" s="7" t="s">
        <v>3368</v>
      </c>
      <c r="M336" s="12"/>
    </row>
    <row r="337" spans="1:13" ht="15.2" customHeight="1" x14ac:dyDescent="0.2">
      <c r="A337" s="6" t="s">
        <v>620</v>
      </c>
      <c r="B337" s="7" t="s">
        <v>621</v>
      </c>
      <c r="C337" s="8">
        <v>1</v>
      </c>
      <c r="D337" s="9">
        <v>8</v>
      </c>
      <c r="E337" s="9">
        <v>8</v>
      </c>
      <c r="F337" s="10">
        <v>19.989999999999998</v>
      </c>
      <c r="G337" s="9">
        <v>19.989999999999998</v>
      </c>
      <c r="H337" s="8" t="s">
        <v>1552</v>
      </c>
      <c r="I337" s="7" t="s">
        <v>3182</v>
      </c>
      <c r="J337" s="11" t="s">
        <v>3202</v>
      </c>
      <c r="K337" s="7" t="s">
        <v>3323</v>
      </c>
      <c r="L337" s="7" t="s">
        <v>3356</v>
      </c>
      <c r="M337" s="12"/>
    </row>
    <row r="338" spans="1:13" ht="15.2" customHeight="1" x14ac:dyDescent="0.2">
      <c r="A338" s="6" t="s">
        <v>1851</v>
      </c>
      <c r="B338" s="7" t="s">
        <v>1852</v>
      </c>
      <c r="C338" s="8">
        <v>1</v>
      </c>
      <c r="D338" s="9">
        <v>8</v>
      </c>
      <c r="E338" s="9">
        <v>8</v>
      </c>
      <c r="F338" s="10">
        <v>19.989999999999998</v>
      </c>
      <c r="G338" s="9">
        <v>19.989999999999998</v>
      </c>
      <c r="H338" s="8" t="s">
        <v>1552</v>
      </c>
      <c r="I338" s="7" t="s">
        <v>3400</v>
      </c>
      <c r="J338" s="11" t="s">
        <v>3186</v>
      </c>
      <c r="K338" s="7" t="s">
        <v>3323</v>
      </c>
      <c r="L338" s="7" t="s">
        <v>3356</v>
      </c>
      <c r="M338" s="12"/>
    </row>
    <row r="339" spans="1:13" ht="15.2" customHeight="1" x14ac:dyDescent="0.2">
      <c r="A339" s="6" t="s">
        <v>622</v>
      </c>
      <c r="B339" s="7" t="s">
        <v>623</v>
      </c>
      <c r="C339" s="8">
        <v>1</v>
      </c>
      <c r="D339" s="9">
        <v>8</v>
      </c>
      <c r="E339" s="9">
        <v>8</v>
      </c>
      <c r="F339" s="10">
        <v>19.989999999999998</v>
      </c>
      <c r="G339" s="9">
        <v>19.989999999999998</v>
      </c>
      <c r="H339" s="8" t="s">
        <v>1552</v>
      </c>
      <c r="I339" s="7" t="s">
        <v>3185</v>
      </c>
      <c r="J339" s="11" t="s">
        <v>3242</v>
      </c>
      <c r="K339" s="7" t="s">
        <v>3323</v>
      </c>
      <c r="L339" s="7" t="s">
        <v>3356</v>
      </c>
      <c r="M339" s="12"/>
    </row>
    <row r="340" spans="1:13" ht="15.2" customHeight="1" x14ac:dyDescent="0.2">
      <c r="A340" s="6" t="s">
        <v>1963</v>
      </c>
      <c r="B340" s="7" t="s">
        <v>1964</v>
      </c>
      <c r="C340" s="8">
        <v>2</v>
      </c>
      <c r="D340" s="9">
        <v>8</v>
      </c>
      <c r="E340" s="9">
        <v>16</v>
      </c>
      <c r="F340" s="10">
        <v>19.989999999999998</v>
      </c>
      <c r="G340" s="9">
        <v>39.979999999999997</v>
      </c>
      <c r="H340" s="8" t="s">
        <v>1841</v>
      </c>
      <c r="I340" s="7" t="s">
        <v>3214</v>
      </c>
      <c r="J340" s="11" t="s">
        <v>3231</v>
      </c>
      <c r="K340" s="7" t="s">
        <v>3323</v>
      </c>
      <c r="L340" s="7" t="s">
        <v>3407</v>
      </c>
      <c r="M340" s="12"/>
    </row>
    <row r="341" spans="1:13" ht="15.2" customHeight="1" x14ac:dyDescent="0.2">
      <c r="A341" s="6" t="s">
        <v>1674</v>
      </c>
      <c r="B341" s="7" t="s">
        <v>1675</v>
      </c>
      <c r="C341" s="8">
        <v>1</v>
      </c>
      <c r="D341" s="9">
        <v>8</v>
      </c>
      <c r="E341" s="9">
        <v>8</v>
      </c>
      <c r="F341" s="10">
        <v>19.989999999999998</v>
      </c>
      <c r="G341" s="9">
        <v>19.989999999999998</v>
      </c>
      <c r="H341" s="8" t="s">
        <v>1661</v>
      </c>
      <c r="I341" s="7" t="s">
        <v>3210</v>
      </c>
      <c r="J341" s="11" t="s">
        <v>3202</v>
      </c>
      <c r="K341" s="7" t="s">
        <v>3387</v>
      </c>
      <c r="L341" s="7" t="s">
        <v>3404</v>
      </c>
      <c r="M341" s="12"/>
    </row>
    <row r="342" spans="1:13" ht="15.2" customHeight="1" x14ac:dyDescent="0.2">
      <c r="A342" s="6" t="s">
        <v>1659</v>
      </c>
      <c r="B342" s="7" t="s">
        <v>1660</v>
      </c>
      <c r="C342" s="8">
        <v>1</v>
      </c>
      <c r="D342" s="9">
        <v>8</v>
      </c>
      <c r="E342" s="9">
        <v>8</v>
      </c>
      <c r="F342" s="10">
        <v>19.989999999999998</v>
      </c>
      <c r="G342" s="9">
        <v>19.989999999999998</v>
      </c>
      <c r="H342" s="8" t="s">
        <v>1661</v>
      </c>
      <c r="I342" s="7" t="s">
        <v>3210</v>
      </c>
      <c r="J342" s="11" t="s">
        <v>3242</v>
      </c>
      <c r="K342" s="7" t="s">
        <v>3387</v>
      </c>
      <c r="L342" s="7" t="s">
        <v>3404</v>
      </c>
      <c r="M342" s="12"/>
    </row>
    <row r="343" spans="1:13" ht="15.2" customHeight="1" x14ac:dyDescent="0.2">
      <c r="A343" s="6" t="s">
        <v>624</v>
      </c>
      <c r="B343" s="7" t="s">
        <v>625</v>
      </c>
      <c r="C343" s="8">
        <v>1</v>
      </c>
      <c r="D343" s="9">
        <v>8</v>
      </c>
      <c r="E343" s="9">
        <v>8</v>
      </c>
      <c r="F343" s="10">
        <v>19.989999999999998</v>
      </c>
      <c r="G343" s="9">
        <v>19.989999999999998</v>
      </c>
      <c r="H343" s="8" t="s">
        <v>1670</v>
      </c>
      <c r="I343" s="7" t="s">
        <v>3207</v>
      </c>
      <c r="J343" s="11" t="s">
        <v>3242</v>
      </c>
      <c r="K343" s="7" t="s">
        <v>3387</v>
      </c>
      <c r="L343" s="7" t="s">
        <v>3404</v>
      </c>
      <c r="M343" s="12"/>
    </row>
    <row r="344" spans="1:13" ht="15.2" customHeight="1" x14ac:dyDescent="0.2">
      <c r="A344" s="6" t="s">
        <v>1668</v>
      </c>
      <c r="B344" s="7" t="s">
        <v>1669</v>
      </c>
      <c r="C344" s="8">
        <v>3</v>
      </c>
      <c r="D344" s="9">
        <v>8</v>
      </c>
      <c r="E344" s="9">
        <v>24</v>
      </c>
      <c r="F344" s="10">
        <v>19.989999999999998</v>
      </c>
      <c r="G344" s="9">
        <v>59.97</v>
      </c>
      <c r="H344" s="8" t="s">
        <v>1670</v>
      </c>
      <c r="I344" s="7" t="s">
        <v>3207</v>
      </c>
      <c r="J344" s="11" t="s">
        <v>3202</v>
      </c>
      <c r="K344" s="7" t="s">
        <v>3387</v>
      </c>
      <c r="L344" s="7" t="s">
        <v>3404</v>
      </c>
      <c r="M344" s="12"/>
    </row>
    <row r="345" spans="1:13" ht="15.2" customHeight="1" x14ac:dyDescent="0.2">
      <c r="A345" s="6" t="s">
        <v>1845</v>
      </c>
      <c r="B345" s="7" t="s">
        <v>1846</v>
      </c>
      <c r="C345" s="8">
        <v>1</v>
      </c>
      <c r="D345" s="9">
        <v>8</v>
      </c>
      <c r="E345" s="9">
        <v>8</v>
      </c>
      <c r="F345" s="10">
        <v>19.989999999999998</v>
      </c>
      <c r="G345" s="9">
        <v>19.989999999999998</v>
      </c>
      <c r="H345" s="8" t="s">
        <v>1670</v>
      </c>
      <c r="I345" s="7" t="s">
        <v>3207</v>
      </c>
      <c r="J345" s="11" t="s">
        <v>3231</v>
      </c>
      <c r="K345" s="7" t="s">
        <v>3387</v>
      </c>
      <c r="L345" s="7" t="s">
        <v>3404</v>
      </c>
      <c r="M345" s="12"/>
    </row>
    <row r="346" spans="1:13" ht="15.2" customHeight="1" x14ac:dyDescent="0.2">
      <c r="A346" s="6" t="s">
        <v>1773</v>
      </c>
      <c r="B346" s="7" t="s">
        <v>1774</v>
      </c>
      <c r="C346" s="8">
        <v>4</v>
      </c>
      <c r="D346" s="9">
        <v>8</v>
      </c>
      <c r="E346" s="9">
        <v>32</v>
      </c>
      <c r="F346" s="10">
        <v>19.989999999999998</v>
      </c>
      <c r="G346" s="9">
        <v>79.959999999999994</v>
      </c>
      <c r="H346" s="8" t="s">
        <v>1670</v>
      </c>
      <c r="I346" s="7" t="s">
        <v>3207</v>
      </c>
      <c r="J346" s="11" t="s">
        <v>3186</v>
      </c>
      <c r="K346" s="7" t="s">
        <v>3387</v>
      </c>
      <c r="L346" s="7" t="s">
        <v>3404</v>
      </c>
      <c r="M346" s="12"/>
    </row>
    <row r="347" spans="1:13" ht="15.2" customHeight="1" x14ac:dyDescent="0.2">
      <c r="A347" s="6" t="s">
        <v>1847</v>
      </c>
      <c r="B347" s="7" t="s">
        <v>1848</v>
      </c>
      <c r="C347" s="8">
        <v>1</v>
      </c>
      <c r="D347" s="9">
        <v>8</v>
      </c>
      <c r="E347" s="9">
        <v>8</v>
      </c>
      <c r="F347" s="10">
        <v>19.989999999999998</v>
      </c>
      <c r="G347" s="9">
        <v>19.989999999999998</v>
      </c>
      <c r="H347" s="8" t="s">
        <v>1673</v>
      </c>
      <c r="I347" s="7" t="s">
        <v>3321</v>
      </c>
      <c r="J347" s="11" t="s">
        <v>3220</v>
      </c>
      <c r="K347" s="7" t="s">
        <v>3387</v>
      </c>
      <c r="L347" s="7" t="s">
        <v>3404</v>
      </c>
      <c r="M347" s="12"/>
    </row>
    <row r="348" spans="1:13" ht="15.2" customHeight="1" x14ac:dyDescent="0.2">
      <c r="A348" s="6" t="s">
        <v>1666</v>
      </c>
      <c r="B348" s="7" t="s">
        <v>1667</v>
      </c>
      <c r="C348" s="8">
        <v>1</v>
      </c>
      <c r="D348" s="9">
        <v>8</v>
      </c>
      <c r="E348" s="9">
        <v>8</v>
      </c>
      <c r="F348" s="10">
        <v>19.989999999999998</v>
      </c>
      <c r="G348" s="9">
        <v>19.989999999999998</v>
      </c>
      <c r="H348" s="8" t="s">
        <v>1661</v>
      </c>
      <c r="I348" s="7" t="s">
        <v>3210</v>
      </c>
      <c r="J348" s="11" t="s">
        <v>3186</v>
      </c>
      <c r="K348" s="7" t="s">
        <v>3387</v>
      </c>
      <c r="L348" s="7" t="s">
        <v>3404</v>
      </c>
      <c r="M348" s="12"/>
    </row>
    <row r="349" spans="1:13" ht="15.2" customHeight="1" x14ac:dyDescent="0.2">
      <c r="A349" s="6" t="s">
        <v>626</v>
      </c>
      <c r="B349" s="7" t="s">
        <v>627</v>
      </c>
      <c r="C349" s="8">
        <v>1</v>
      </c>
      <c r="D349" s="9">
        <v>8</v>
      </c>
      <c r="E349" s="9">
        <v>8</v>
      </c>
      <c r="F349" s="10">
        <v>19.989999999999998</v>
      </c>
      <c r="G349" s="9">
        <v>19.989999999999998</v>
      </c>
      <c r="H349" s="8" t="s">
        <v>1772</v>
      </c>
      <c r="I349" s="7" t="s">
        <v>3185</v>
      </c>
      <c r="J349" s="11" t="s">
        <v>3242</v>
      </c>
      <c r="K349" s="7" t="s">
        <v>3387</v>
      </c>
      <c r="L349" s="7" t="s">
        <v>3404</v>
      </c>
      <c r="M349" s="12"/>
    </row>
    <row r="350" spans="1:13" ht="15.2" customHeight="1" x14ac:dyDescent="0.2">
      <c r="A350" s="6" t="s">
        <v>1664</v>
      </c>
      <c r="B350" s="7" t="s">
        <v>1665</v>
      </c>
      <c r="C350" s="8">
        <v>2</v>
      </c>
      <c r="D350" s="9">
        <v>8</v>
      </c>
      <c r="E350" s="9">
        <v>16</v>
      </c>
      <c r="F350" s="10">
        <v>19.989999999999998</v>
      </c>
      <c r="G350" s="9">
        <v>39.979999999999997</v>
      </c>
      <c r="H350" s="8" t="s">
        <v>1661</v>
      </c>
      <c r="I350" s="7" t="s">
        <v>3210</v>
      </c>
      <c r="J350" s="11" t="s">
        <v>3231</v>
      </c>
      <c r="K350" s="7" t="s">
        <v>3387</v>
      </c>
      <c r="L350" s="7" t="s">
        <v>3404</v>
      </c>
      <c r="M350" s="12"/>
    </row>
    <row r="351" spans="1:13" ht="15.2" customHeight="1" x14ac:dyDescent="0.2">
      <c r="A351" s="6" t="s">
        <v>628</v>
      </c>
      <c r="B351" s="7" t="s">
        <v>629</v>
      </c>
      <c r="C351" s="8">
        <v>1</v>
      </c>
      <c r="D351" s="9">
        <v>8</v>
      </c>
      <c r="E351" s="9">
        <v>8</v>
      </c>
      <c r="F351" s="10">
        <v>19.989999999999998</v>
      </c>
      <c r="G351" s="9">
        <v>19.989999999999998</v>
      </c>
      <c r="H351" s="8" t="s">
        <v>1673</v>
      </c>
      <c r="I351" s="7" t="s">
        <v>3321</v>
      </c>
      <c r="J351" s="11" t="s">
        <v>3242</v>
      </c>
      <c r="K351" s="7" t="s">
        <v>3387</v>
      </c>
      <c r="L351" s="7" t="s">
        <v>3404</v>
      </c>
      <c r="M351" s="12"/>
    </row>
    <row r="352" spans="1:13" ht="15.2" customHeight="1" x14ac:dyDescent="0.2">
      <c r="A352" s="6" t="s">
        <v>1550</v>
      </c>
      <c r="B352" s="7" t="s">
        <v>1551</v>
      </c>
      <c r="C352" s="8">
        <v>2</v>
      </c>
      <c r="D352" s="9">
        <v>8</v>
      </c>
      <c r="E352" s="9">
        <v>16</v>
      </c>
      <c r="F352" s="10">
        <v>19.989999999999998</v>
      </c>
      <c r="G352" s="9">
        <v>39.979999999999997</v>
      </c>
      <c r="H352" s="8" t="s">
        <v>1552</v>
      </c>
      <c r="I352" s="7" t="s">
        <v>3394</v>
      </c>
      <c r="J352" s="11" t="s">
        <v>3220</v>
      </c>
      <c r="K352" s="7" t="s">
        <v>3323</v>
      </c>
      <c r="L352" s="7" t="s">
        <v>3356</v>
      </c>
      <c r="M352" s="12"/>
    </row>
    <row r="353" spans="1:13" ht="15.2" customHeight="1" x14ac:dyDescent="0.2">
      <c r="A353" s="6" t="s">
        <v>1770</v>
      </c>
      <c r="B353" s="7" t="s">
        <v>1771</v>
      </c>
      <c r="C353" s="8">
        <v>1</v>
      </c>
      <c r="D353" s="9">
        <v>8</v>
      </c>
      <c r="E353" s="9">
        <v>8</v>
      </c>
      <c r="F353" s="10">
        <v>19.989999999999998</v>
      </c>
      <c r="G353" s="9">
        <v>19.989999999999998</v>
      </c>
      <c r="H353" s="8" t="s">
        <v>1552</v>
      </c>
      <c r="I353" s="7" t="s">
        <v>3400</v>
      </c>
      <c r="J353" s="11" t="s">
        <v>3220</v>
      </c>
      <c r="K353" s="7" t="s">
        <v>3323</v>
      </c>
      <c r="L353" s="7" t="s">
        <v>3356</v>
      </c>
      <c r="M353" s="12"/>
    </row>
    <row r="354" spans="1:13" ht="15.2" customHeight="1" x14ac:dyDescent="0.2">
      <c r="A354" s="6" t="s">
        <v>1662</v>
      </c>
      <c r="B354" s="7" t="s">
        <v>1663</v>
      </c>
      <c r="C354" s="8">
        <v>1</v>
      </c>
      <c r="D354" s="9">
        <v>8</v>
      </c>
      <c r="E354" s="9">
        <v>8</v>
      </c>
      <c r="F354" s="10">
        <v>19.989999999999998</v>
      </c>
      <c r="G354" s="9">
        <v>19.989999999999998</v>
      </c>
      <c r="H354" s="8" t="s">
        <v>1658</v>
      </c>
      <c r="I354" s="7" t="s">
        <v>3252</v>
      </c>
      <c r="J354" s="11" t="s">
        <v>3220</v>
      </c>
      <c r="K354" s="7" t="s">
        <v>3323</v>
      </c>
      <c r="L354" s="7" t="s">
        <v>3356</v>
      </c>
      <c r="M354" s="12"/>
    </row>
    <row r="355" spans="1:13" ht="15.2" customHeight="1" x14ac:dyDescent="0.2">
      <c r="A355" s="6" t="s">
        <v>1656</v>
      </c>
      <c r="B355" s="7" t="s">
        <v>1657</v>
      </c>
      <c r="C355" s="8">
        <v>1</v>
      </c>
      <c r="D355" s="9">
        <v>8</v>
      </c>
      <c r="E355" s="9">
        <v>8</v>
      </c>
      <c r="F355" s="10">
        <v>19.989999999999998</v>
      </c>
      <c r="G355" s="9">
        <v>19.989999999999998</v>
      </c>
      <c r="H355" s="8" t="s">
        <v>1658</v>
      </c>
      <c r="I355" s="7" t="s">
        <v>3185</v>
      </c>
      <c r="J355" s="11" t="s">
        <v>3186</v>
      </c>
      <c r="K355" s="7" t="s">
        <v>3323</v>
      </c>
      <c r="L355" s="7" t="s">
        <v>3356</v>
      </c>
      <c r="M355" s="12"/>
    </row>
    <row r="356" spans="1:13" ht="15.2" customHeight="1" x14ac:dyDescent="0.2">
      <c r="A356" s="6" t="s">
        <v>1853</v>
      </c>
      <c r="B356" s="7" t="s">
        <v>1854</v>
      </c>
      <c r="C356" s="8">
        <v>1</v>
      </c>
      <c r="D356" s="9">
        <v>8</v>
      </c>
      <c r="E356" s="9">
        <v>8</v>
      </c>
      <c r="F356" s="10">
        <v>19.989999999999998</v>
      </c>
      <c r="G356" s="9">
        <v>19.989999999999998</v>
      </c>
      <c r="H356" s="8" t="s">
        <v>1841</v>
      </c>
      <c r="I356" s="7" t="s">
        <v>3257</v>
      </c>
      <c r="J356" s="11" t="s">
        <v>3220</v>
      </c>
      <c r="K356" s="7" t="s">
        <v>3323</v>
      </c>
      <c r="L356" s="7" t="s">
        <v>3407</v>
      </c>
      <c r="M356" s="12"/>
    </row>
    <row r="357" spans="1:13" ht="15.2" customHeight="1" x14ac:dyDescent="0.2">
      <c r="A357" s="6" t="s">
        <v>1843</v>
      </c>
      <c r="B357" s="7" t="s">
        <v>1844</v>
      </c>
      <c r="C357" s="8">
        <v>3</v>
      </c>
      <c r="D357" s="9">
        <v>8</v>
      </c>
      <c r="E357" s="9">
        <v>24</v>
      </c>
      <c r="F357" s="10">
        <v>19.989999999999998</v>
      </c>
      <c r="G357" s="9">
        <v>59.97</v>
      </c>
      <c r="H357" s="8" t="s">
        <v>1661</v>
      </c>
      <c r="I357" s="7" t="s">
        <v>3210</v>
      </c>
      <c r="J357" s="11" t="s">
        <v>3220</v>
      </c>
      <c r="K357" s="7" t="s">
        <v>3387</v>
      </c>
      <c r="L357" s="7" t="s">
        <v>3404</v>
      </c>
      <c r="M357" s="12"/>
    </row>
    <row r="358" spans="1:13" ht="15.2" customHeight="1" x14ac:dyDescent="0.2">
      <c r="A358" s="6" t="s">
        <v>2094</v>
      </c>
      <c r="B358" s="7" t="s">
        <v>2095</v>
      </c>
      <c r="C358" s="8">
        <v>4</v>
      </c>
      <c r="D358" s="9">
        <v>8</v>
      </c>
      <c r="E358" s="9">
        <v>32</v>
      </c>
      <c r="F358" s="10">
        <v>19.989999999999998</v>
      </c>
      <c r="G358" s="9">
        <v>79.959999999999994</v>
      </c>
      <c r="H358" s="8" t="s">
        <v>1670</v>
      </c>
      <c r="I358" s="7" t="s">
        <v>3207</v>
      </c>
      <c r="J358" s="11" t="s">
        <v>3220</v>
      </c>
      <c r="K358" s="7" t="s">
        <v>3387</v>
      </c>
      <c r="L358" s="7" t="s">
        <v>3404</v>
      </c>
      <c r="M358" s="12"/>
    </row>
    <row r="359" spans="1:13" ht="15.2" customHeight="1" x14ac:dyDescent="0.2">
      <c r="A359" s="6" t="s">
        <v>1855</v>
      </c>
      <c r="B359" s="7" t="s">
        <v>1856</v>
      </c>
      <c r="C359" s="8">
        <v>1</v>
      </c>
      <c r="D359" s="9">
        <v>7.9</v>
      </c>
      <c r="E359" s="9">
        <v>7.9</v>
      </c>
      <c r="F359" s="10">
        <v>19.989999999999998</v>
      </c>
      <c r="G359" s="9">
        <v>19.989999999999998</v>
      </c>
      <c r="H359" s="8" t="s">
        <v>1678</v>
      </c>
      <c r="I359" s="7" t="s">
        <v>3189</v>
      </c>
      <c r="J359" s="11" t="s">
        <v>3242</v>
      </c>
      <c r="K359" s="7" t="s">
        <v>3323</v>
      </c>
      <c r="L359" s="7" t="s">
        <v>3931</v>
      </c>
      <c r="M359" s="12"/>
    </row>
    <row r="360" spans="1:13" ht="15.2" customHeight="1" x14ac:dyDescent="0.2">
      <c r="A360" s="6" t="s">
        <v>2096</v>
      </c>
      <c r="B360" s="7" t="s">
        <v>2097</v>
      </c>
      <c r="C360" s="8">
        <v>1</v>
      </c>
      <c r="D360" s="9">
        <v>7.7</v>
      </c>
      <c r="E360" s="9">
        <v>7.7</v>
      </c>
      <c r="F360" s="10">
        <v>18.989999999999998</v>
      </c>
      <c r="G360" s="9">
        <v>18.989999999999998</v>
      </c>
      <c r="H360" s="8" t="s">
        <v>4207</v>
      </c>
      <c r="I360" s="7" t="s">
        <v>3286</v>
      </c>
      <c r="J360" s="11" t="s">
        <v>3202</v>
      </c>
      <c r="K360" s="7" t="s">
        <v>3334</v>
      </c>
      <c r="L360" s="7" t="s">
        <v>3324</v>
      </c>
      <c r="M360" s="12"/>
    </row>
    <row r="361" spans="1:13" ht="15.2" customHeight="1" x14ac:dyDescent="0.2">
      <c r="A361" s="6" t="s">
        <v>630</v>
      </c>
      <c r="B361" s="7" t="s">
        <v>631</v>
      </c>
      <c r="C361" s="8">
        <v>1</v>
      </c>
      <c r="D361" s="9">
        <v>7.5</v>
      </c>
      <c r="E361" s="9">
        <v>7.5</v>
      </c>
      <c r="F361" s="10">
        <v>19.989999999999998</v>
      </c>
      <c r="G361" s="9">
        <v>19.989999999999998</v>
      </c>
      <c r="H361" s="8" t="s">
        <v>1680</v>
      </c>
      <c r="I361" s="7" t="s">
        <v>3339</v>
      </c>
      <c r="J361" s="11" t="s">
        <v>3220</v>
      </c>
      <c r="K361" s="7" t="s">
        <v>3387</v>
      </c>
      <c r="L361" s="7" t="s">
        <v>3388</v>
      </c>
      <c r="M361" s="12"/>
    </row>
    <row r="362" spans="1:13" ht="15.2" customHeight="1" x14ac:dyDescent="0.2">
      <c r="A362" s="6" t="s">
        <v>632</v>
      </c>
      <c r="B362" s="7" t="s">
        <v>633</v>
      </c>
      <c r="C362" s="8">
        <v>1</v>
      </c>
      <c r="D362" s="9">
        <v>7.5</v>
      </c>
      <c r="E362" s="9">
        <v>7.5</v>
      </c>
      <c r="F362" s="10">
        <v>19.989999999999998</v>
      </c>
      <c r="G362" s="9">
        <v>19.989999999999998</v>
      </c>
      <c r="H362" s="8" t="s">
        <v>1681</v>
      </c>
      <c r="I362" s="7" t="s">
        <v>3421</v>
      </c>
      <c r="J362" s="11" t="s">
        <v>3202</v>
      </c>
      <c r="K362" s="7" t="s">
        <v>3323</v>
      </c>
      <c r="L362" s="7" t="s">
        <v>3418</v>
      </c>
      <c r="M362" s="12"/>
    </row>
    <row r="363" spans="1:13" ht="15.2" customHeight="1" x14ac:dyDescent="0.2">
      <c r="A363" s="6" t="s">
        <v>634</v>
      </c>
      <c r="B363" s="7" t="s">
        <v>635</v>
      </c>
      <c r="C363" s="8">
        <v>1</v>
      </c>
      <c r="D363" s="9">
        <v>7.5</v>
      </c>
      <c r="E363" s="9">
        <v>7.5</v>
      </c>
      <c r="F363" s="10">
        <v>19.989999999999998</v>
      </c>
      <c r="G363" s="9">
        <v>19.989999999999998</v>
      </c>
      <c r="H363" s="8" t="s">
        <v>1681</v>
      </c>
      <c r="I363" s="7" t="s">
        <v>3421</v>
      </c>
      <c r="J363" s="11" t="s">
        <v>3231</v>
      </c>
      <c r="K363" s="7" t="s">
        <v>3323</v>
      </c>
      <c r="L363" s="7" t="s">
        <v>3418</v>
      </c>
      <c r="M363" s="12"/>
    </row>
    <row r="364" spans="1:13" ht="15.2" customHeight="1" x14ac:dyDescent="0.2">
      <c r="A364" s="6" t="s">
        <v>636</v>
      </c>
      <c r="B364" s="7" t="s">
        <v>637</v>
      </c>
      <c r="C364" s="8">
        <v>1</v>
      </c>
      <c r="D364" s="9">
        <v>7.5</v>
      </c>
      <c r="E364" s="9">
        <v>7.5</v>
      </c>
      <c r="F364" s="10">
        <v>19.989999999999998</v>
      </c>
      <c r="G364" s="9">
        <v>19.989999999999998</v>
      </c>
      <c r="H364" s="8" t="s">
        <v>1681</v>
      </c>
      <c r="I364" s="7" t="s">
        <v>3390</v>
      </c>
      <c r="J364" s="11" t="s">
        <v>3186</v>
      </c>
      <c r="K364" s="7" t="s">
        <v>3323</v>
      </c>
      <c r="L364" s="7" t="s">
        <v>3418</v>
      </c>
      <c r="M364" s="12"/>
    </row>
    <row r="365" spans="1:13" ht="15.2" customHeight="1" x14ac:dyDescent="0.2">
      <c r="A365" s="6" t="s">
        <v>1862</v>
      </c>
      <c r="B365" s="7" t="s">
        <v>1863</v>
      </c>
      <c r="C365" s="8">
        <v>1</v>
      </c>
      <c r="D365" s="9">
        <v>7.4</v>
      </c>
      <c r="E365" s="9">
        <v>7.4</v>
      </c>
      <c r="F365" s="10">
        <v>16.989999999999998</v>
      </c>
      <c r="G365" s="9">
        <v>16.989999999999998</v>
      </c>
      <c r="H365" s="8" t="s">
        <v>1684</v>
      </c>
      <c r="I365" s="7" t="s">
        <v>3185</v>
      </c>
      <c r="J365" s="11" t="s">
        <v>3231</v>
      </c>
      <c r="K365" s="7" t="s">
        <v>3387</v>
      </c>
      <c r="L365" s="7" t="s">
        <v>3410</v>
      </c>
      <c r="M365" s="12"/>
    </row>
    <row r="366" spans="1:13" ht="15.2" customHeight="1" x14ac:dyDescent="0.2">
      <c r="A366" s="6" t="s">
        <v>638</v>
      </c>
      <c r="B366" s="7" t="s">
        <v>639</v>
      </c>
      <c r="C366" s="8">
        <v>1</v>
      </c>
      <c r="D366" s="9">
        <v>7.4</v>
      </c>
      <c r="E366" s="9">
        <v>7.4</v>
      </c>
      <c r="F366" s="10">
        <v>16.989999999999998</v>
      </c>
      <c r="G366" s="9">
        <v>16.989999999999998</v>
      </c>
      <c r="H366" s="8" t="s">
        <v>1864</v>
      </c>
      <c r="I366" s="7" t="s">
        <v>3216</v>
      </c>
      <c r="J366" s="11" t="s">
        <v>3242</v>
      </c>
      <c r="K366" s="7" t="s">
        <v>3387</v>
      </c>
      <c r="L366" s="7" t="s">
        <v>3410</v>
      </c>
      <c r="M366" s="12"/>
    </row>
    <row r="367" spans="1:13" ht="15.2" customHeight="1" x14ac:dyDescent="0.2">
      <c r="A367" s="6" t="s">
        <v>1682</v>
      </c>
      <c r="B367" s="7" t="s">
        <v>1683</v>
      </c>
      <c r="C367" s="8">
        <v>1</v>
      </c>
      <c r="D367" s="9">
        <v>7.4</v>
      </c>
      <c r="E367" s="9">
        <v>7.4</v>
      </c>
      <c r="F367" s="10">
        <v>16.989999999999998</v>
      </c>
      <c r="G367" s="9">
        <v>16.989999999999998</v>
      </c>
      <c r="H367" s="8" t="s">
        <v>1684</v>
      </c>
      <c r="I367" s="7" t="s">
        <v>3185</v>
      </c>
      <c r="J367" s="11" t="s">
        <v>3186</v>
      </c>
      <c r="K367" s="7" t="s">
        <v>3387</v>
      </c>
      <c r="L367" s="7" t="s">
        <v>3410</v>
      </c>
      <c r="M367" s="12"/>
    </row>
    <row r="368" spans="1:13" ht="15.2" customHeight="1" x14ac:dyDescent="0.2">
      <c r="A368" s="6" t="s">
        <v>640</v>
      </c>
      <c r="B368" s="7" t="s">
        <v>641</v>
      </c>
      <c r="C368" s="8">
        <v>1</v>
      </c>
      <c r="D368" s="9">
        <v>7.4</v>
      </c>
      <c r="E368" s="9">
        <v>7.4</v>
      </c>
      <c r="F368" s="10">
        <v>16.989999999999998</v>
      </c>
      <c r="G368" s="9">
        <v>16.989999999999998</v>
      </c>
      <c r="H368" s="8" t="s">
        <v>1861</v>
      </c>
      <c r="I368" s="7" t="s">
        <v>3321</v>
      </c>
      <c r="J368" s="11" t="s">
        <v>3202</v>
      </c>
      <c r="K368" s="7" t="s">
        <v>3387</v>
      </c>
      <c r="L368" s="7" t="s">
        <v>3410</v>
      </c>
      <c r="M368" s="12"/>
    </row>
    <row r="369" spans="1:13" ht="15.2" customHeight="1" x14ac:dyDescent="0.2">
      <c r="A369" s="6" t="s">
        <v>2098</v>
      </c>
      <c r="B369" s="7" t="s">
        <v>2099</v>
      </c>
      <c r="C369" s="8">
        <v>1</v>
      </c>
      <c r="D369" s="9">
        <v>7.4</v>
      </c>
      <c r="E369" s="9">
        <v>7.4</v>
      </c>
      <c r="F369" s="10">
        <v>16.989999999999998</v>
      </c>
      <c r="G369" s="9">
        <v>16.989999999999998</v>
      </c>
      <c r="H369" s="8" t="s">
        <v>1684</v>
      </c>
      <c r="I369" s="7" t="s">
        <v>3185</v>
      </c>
      <c r="J369" s="11" t="s">
        <v>3220</v>
      </c>
      <c r="K369" s="7" t="s">
        <v>3387</v>
      </c>
      <c r="L369" s="7" t="s">
        <v>3410</v>
      </c>
      <c r="M369" s="12"/>
    </row>
    <row r="370" spans="1:13" ht="15.2" customHeight="1" x14ac:dyDescent="0.2">
      <c r="A370" s="6" t="s">
        <v>642</v>
      </c>
      <c r="B370" s="7" t="s">
        <v>643</v>
      </c>
      <c r="C370" s="8">
        <v>1</v>
      </c>
      <c r="D370" s="9">
        <v>7.06</v>
      </c>
      <c r="E370" s="9">
        <v>7.06</v>
      </c>
      <c r="F370" s="10">
        <v>14.99</v>
      </c>
      <c r="G370" s="9">
        <v>14.99</v>
      </c>
      <c r="H370" s="8">
        <v>60453406</v>
      </c>
      <c r="I370" s="7" t="s">
        <v>3185</v>
      </c>
      <c r="J370" s="11" t="s">
        <v>3231</v>
      </c>
      <c r="K370" s="7" t="s">
        <v>3334</v>
      </c>
      <c r="L370" s="7" t="s">
        <v>3368</v>
      </c>
      <c r="M370" s="12"/>
    </row>
    <row r="371" spans="1:13" ht="15.2" customHeight="1" x14ac:dyDescent="0.2">
      <c r="A371" s="6" t="s">
        <v>644</v>
      </c>
      <c r="B371" s="7" t="s">
        <v>645</v>
      </c>
      <c r="C371" s="8">
        <v>1</v>
      </c>
      <c r="D371" s="9">
        <v>7.06</v>
      </c>
      <c r="E371" s="9">
        <v>7.06</v>
      </c>
      <c r="F371" s="10">
        <v>16.989999999999998</v>
      </c>
      <c r="G371" s="9">
        <v>16.989999999999998</v>
      </c>
      <c r="H371" s="8">
        <v>60453411</v>
      </c>
      <c r="I371" s="7" t="s">
        <v>3321</v>
      </c>
      <c r="J371" s="11" t="s">
        <v>3220</v>
      </c>
      <c r="K371" s="7" t="s">
        <v>3334</v>
      </c>
      <c r="L371" s="7" t="s">
        <v>3368</v>
      </c>
      <c r="M371" s="12"/>
    </row>
    <row r="372" spans="1:13" ht="15.2" customHeight="1" x14ac:dyDescent="0.2">
      <c r="A372" s="6" t="s">
        <v>646</v>
      </c>
      <c r="B372" s="7" t="s">
        <v>647</v>
      </c>
      <c r="C372" s="8">
        <v>1</v>
      </c>
      <c r="D372" s="9">
        <v>7</v>
      </c>
      <c r="E372" s="9">
        <v>7</v>
      </c>
      <c r="F372" s="10">
        <v>14.99</v>
      </c>
      <c r="G372" s="9">
        <v>14.99</v>
      </c>
      <c r="H372" s="8">
        <v>60455086</v>
      </c>
      <c r="I372" s="7" t="s">
        <v>3234</v>
      </c>
      <c r="J372" s="11" t="s">
        <v>3220</v>
      </c>
      <c r="K372" s="7" t="s">
        <v>3334</v>
      </c>
      <c r="L372" s="7" t="s">
        <v>3368</v>
      </c>
      <c r="M372" s="12"/>
    </row>
    <row r="373" spans="1:13" ht="15.2" customHeight="1" x14ac:dyDescent="0.2">
      <c r="A373" s="6" t="s">
        <v>2026</v>
      </c>
      <c r="B373" s="7" t="s">
        <v>2027</v>
      </c>
      <c r="C373" s="8">
        <v>1</v>
      </c>
      <c r="D373" s="9">
        <v>6.85</v>
      </c>
      <c r="E373" s="9">
        <v>6.85</v>
      </c>
      <c r="F373" s="10">
        <v>16.989999999999998</v>
      </c>
      <c r="G373" s="9">
        <v>16.989999999999998</v>
      </c>
      <c r="H373" s="8" t="s">
        <v>1687</v>
      </c>
      <c r="I373" s="7" t="s">
        <v>3185</v>
      </c>
      <c r="J373" s="11" t="s">
        <v>3186</v>
      </c>
      <c r="K373" s="7" t="s">
        <v>3323</v>
      </c>
      <c r="L373" s="7" t="s">
        <v>3371</v>
      </c>
      <c r="M373" s="12"/>
    </row>
    <row r="374" spans="1:13" ht="15.2" customHeight="1" x14ac:dyDescent="0.2">
      <c r="A374" s="6" t="s">
        <v>1869</v>
      </c>
      <c r="B374" s="7" t="s">
        <v>1870</v>
      </c>
      <c r="C374" s="8">
        <v>1</v>
      </c>
      <c r="D374" s="9">
        <v>6.85</v>
      </c>
      <c r="E374" s="9">
        <v>6.85</v>
      </c>
      <c r="F374" s="10">
        <v>16.989999999999998</v>
      </c>
      <c r="G374" s="9">
        <v>16.989999999999998</v>
      </c>
      <c r="H374" s="8" t="s">
        <v>1687</v>
      </c>
      <c r="I374" s="7" t="s">
        <v>3207</v>
      </c>
      <c r="J374" s="11" t="s">
        <v>3231</v>
      </c>
      <c r="K374" s="7" t="s">
        <v>3323</v>
      </c>
      <c r="L374" s="7" t="s">
        <v>3371</v>
      </c>
      <c r="M374" s="12"/>
    </row>
    <row r="375" spans="1:13" ht="15.2" customHeight="1" x14ac:dyDescent="0.2">
      <c r="A375" s="6" t="s">
        <v>1690</v>
      </c>
      <c r="B375" s="7" t="s">
        <v>1691</v>
      </c>
      <c r="C375" s="8">
        <v>2</v>
      </c>
      <c r="D375" s="9">
        <v>6.85</v>
      </c>
      <c r="E375" s="9">
        <v>13.7</v>
      </c>
      <c r="F375" s="10">
        <v>16.989999999999998</v>
      </c>
      <c r="G375" s="9">
        <v>33.979999999999997</v>
      </c>
      <c r="H375" s="8" t="s">
        <v>1687</v>
      </c>
      <c r="I375" s="7" t="s">
        <v>3382</v>
      </c>
      <c r="J375" s="11" t="s">
        <v>3202</v>
      </c>
      <c r="K375" s="7" t="s">
        <v>3323</v>
      </c>
      <c r="L375" s="7" t="s">
        <v>3371</v>
      </c>
      <c r="M375" s="12"/>
    </row>
    <row r="376" spans="1:13" ht="15.2" customHeight="1" x14ac:dyDescent="0.2">
      <c r="A376" s="6" t="s">
        <v>1685</v>
      </c>
      <c r="B376" s="7" t="s">
        <v>1686</v>
      </c>
      <c r="C376" s="8">
        <v>1</v>
      </c>
      <c r="D376" s="9">
        <v>6.85</v>
      </c>
      <c r="E376" s="9">
        <v>6.85</v>
      </c>
      <c r="F376" s="10">
        <v>16.989999999999998</v>
      </c>
      <c r="G376" s="9">
        <v>16.989999999999998</v>
      </c>
      <c r="H376" s="8" t="s">
        <v>1687</v>
      </c>
      <c r="I376" s="7" t="s">
        <v>3207</v>
      </c>
      <c r="J376" s="11" t="s">
        <v>3220</v>
      </c>
      <c r="K376" s="7" t="s">
        <v>3323</v>
      </c>
      <c r="L376" s="7" t="s">
        <v>3371</v>
      </c>
      <c r="M376" s="12"/>
    </row>
    <row r="377" spans="1:13" ht="15.2" customHeight="1" x14ac:dyDescent="0.2">
      <c r="A377" s="6" t="s">
        <v>1775</v>
      </c>
      <c r="B377" s="7" t="s">
        <v>1776</v>
      </c>
      <c r="C377" s="8">
        <v>4</v>
      </c>
      <c r="D377" s="9">
        <v>6.85</v>
      </c>
      <c r="E377" s="9">
        <v>27.4</v>
      </c>
      <c r="F377" s="10">
        <v>16.989999999999998</v>
      </c>
      <c r="G377" s="9">
        <v>67.959999999999994</v>
      </c>
      <c r="H377" s="8" t="s">
        <v>1687</v>
      </c>
      <c r="I377" s="7" t="s">
        <v>3207</v>
      </c>
      <c r="J377" s="11" t="s">
        <v>3202</v>
      </c>
      <c r="K377" s="7" t="s">
        <v>3323</v>
      </c>
      <c r="L377" s="7" t="s">
        <v>3371</v>
      </c>
      <c r="M377" s="12"/>
    </row>
    <row r="378" spans="1:13" ht="15.2" customHeight="1" x14ac:dyDescent="0.2">
      <c r="A378" s="6" t="s">
        <v>2024</v>
      </c>
      <c r="B378" s="7" t="s">
        <v>2025</v>
      </c>
      <c r="C378" s="8">
        <v>4</v>
      </c>
      <c r="D378" s="9">
        <v>6.85</v>
      </c>
      <c r="E378" s="9">
        <v>27.4</v>
      </c>
      <c r="F378" s="10">
        <v>16.989999999999998</v>
      </c>
      <c r="G378" s="9">
        <v>67.959999999999994</v>
      </c>
      <c r="H378" s="8" t="s">
        <v>1687</v>
      </c>
      <c r="I378" s="7" t="s">
        <v>3185</v>
      </c>
      <c r="J378" s="11" t="s">
        <v>3202</v>
      </c>
      <c r="K378" s="7" t="s">
        <v>3323</v>
      </c>
      <c r="L378" s="7" t="s">
        <v>3371</v>
      </c>
      <c r="M378" s="12"/>
    </row>
    <row r="379" spans="1:13" ht="15.2" customHeight="1" x14ac:dyDescent="0.2">
      <c r="A379" s="6" t="s">
        <v>1871</v>
      </c>
      <c r="B379" s="7" t="s">
        <v>1872</v>
      </c>
      <c r="C379" s="8">
        <v>2</v>
      </c>
      <c r="D379" s="9">
        <v>6.85</v>
      </c>
      <c r="E379" s="9">
        <v>13.7</v>
      </c>
      <c r="F379" s="10">
        <v>16.989999999999998</v>
      </c>
      <c r="G379" s="9">
        <v>33.979999999999997</v>
      </c>
      <c r="H379" s="8" t="s">
        <v>1687</v>
      </c>
      <c r="I379" s="7" t="s">
        <v>3207</v>
      </c>
      <c r="J379" s="11" t="s">
        <v>3186</v>
      </c>
      <c r="K379" s="7" t="s">
        <v>3323</v>
      </c>
      <c r="L379" s="7" t="s">
        <v>3371</v>
      </c>
      <c r="M379" s="12"/>
    </row>
    <row r="380" spans="1:13" ht="15.2" customHeight="1" x14ac:dyDescent="0.2">
      <c r="A380" s="6" t="s">
        <v>2100</v>
      </c>
      <c r="B380" s="7" t="s">
        <v>2101</v>
      </c>
      <c r="C380" s="8">
        <v>1</v>
      </c>
      <c r="D380" s="9">
        <v>6.85</v>
      </c>
      <c r="E380" s="9">
        <v>6.85</v>
      </c>
      <c r="F380" s="10">
        <v>16.989999999999998</v>
      </c>
      <c r="G380" s="9">
        <v>16.989999999999998</v>
      </c>
      <c r="H380" s="8" t="s">
        <v>1687</v>
      </c>
      <c r="I380" s="7" t="s">
        <v>3185</v>
      </c>
      <c r="J380" s="11" t="s">
        <v>3242</v>
      </c>
      <c r="K380" s="7" t="s">
        <v>3323</v>
      </c>
      <c r="L380" s="7" t="s">
        <v>3371</v>
      </c>
      <c r="M380" s="12"/>
    </row>
    <row r="381" spans="1:13" ht="15.2" customHeight="1" x14ac:dyDescent="0.2">
      <c r="A381" s="6" t="s">
        <v>1777</v>
      </c>
      <c r="B381" s="7" t="s">
        <v>1778</v>
      </c>
      <c r="C381" s="8">
        <v>1</v>
      </c>
      <c r="D381" s="9">
        <v>6.85</v>
      </c>
      <c r="E381" s="9">
        <v>6.85</v>
      </c>
      <c r="F381" s="10">
        <v>16.989999999999998</v>
      </c>
      <c r="G381" s="9">
        <v>16.989999999999998</v>
      </c>
      <c r="H381" s="8" t="s">
        <v>1687</v>
      </c>
      <c r="I381" s="7" t="s">
        <v>3185</v>
      </c>
      <c r="J381" s="11" t="s">
        <v>3220</v>
      </c>
      <c r="K381" s="7" t="s">
        <v>3323</v>
      </c>
      <c r="L381" s="7" t="s">
        <v>3371</v>
      </c>
      <c r="M381" s="12"/>
    </row>
    <row r="382" spans="1:13" ht="15.2" customHeight="1" x14ac:dyDescent="0.2">
      <c r="A382" s="6" t="s">
        <v>1867</v>
      </c>
      <c r="B382" s="7" t="s">
        <v>1868</v>
      </c>
      <c r="C382" s="8">
        <v>1</v>
      </c>
      <c r="D382" s="9">
        <v>6.85</v>
      </c>
      <c r="E382" s="9">
        <v>6.85</v>
      </c>
      <c r="F382" s="10">
        <v>16.989999999999998</v>
      </c>
      <c r="G382" s="9">
        <v>16.989999999999998</v>
      </c>
      <c r="H382" s="8" t="s">
        <v>1687</v>
      </c>
      <c r="I382" s="7" t="s">
        <v>3382</v>
      </c>
      <c r="J382" s="11" t="s">
        <v>3186</v>
      </c>
      <c r="K382" s="7" t="s">
        <v>3323</v>
      </c>
      <c r="L382" s="7" t="s">
        <v>3371</v>
      </c>
      <c r="M382" s="12"/>
    </row>
    <row r="383" spans="1:13" ht="15.2" customHeight="1" x14ac:dyDescent="0.2">
      <c r="A383" s="6" t="s">
        <v>1969</v>
      </c>
      <c r="B383" s="7" t="s">
        <v>1970</v>
      </c>
      <c r="C383" s="8">
        <v>3</v>
      </c>
      <c r="D383" s="9">
        <v>6.85</v>
      </c>
      <c r="E383" s="9">
        <v>20.55</v>
      </c>
      <c r="F383" s="10">
        <v>16.989999999999998</v>
      </c>
      <c r="G383" s="9">
        <v>50.97</v>
      </c>
      <c r="H383" s="8" t="s">
        <v>1687</v>
      </c>
      <c r="I383" s="7" t="s">
        <v>3185</v>
      </c>
      <c r="J383" s="11" t="s">
        <v>3202</v>
      </c>
      <c r="K383" s="7" t="s">
        <v>3323</v>
      </c>
      <c r="L383" s="7" t="s">
        <v>3371</v>
      </c>
      <c r="M383" s="12"/>
    </row>
    <row r="384" spans="1:13" ht="15.2" customHeight="1" x14ac:dyDescent="0.2">
      <c r="A384" s="6" t="s">
        <v>1971</v>
      </c>
      <c r="B384" s="7" t="s">
        <v>1972</v>
      </c>
      <c r="C384" s="8">
        <v>1</v>
      </c>
      <c r="D384" s="9">
        <v>6.5</v>
      </c>
      <c r="E384" s="9">
        <v>6.5</v>
      </c>
      <c r="F384" s="10">
        <v>12.99</v>
      </c>
      <c r="G384" s="9">
        <v>12.99</v>
      </c>
      <c r="H384" s="8" t="s">
        <v>1973</v>
      </c>
      <c r="I384" s="7" t="s">
        <v>3394</v>
      </c>
      <c r="J384" s="11" t="s">
        <v>3202</v>
      </c>
      <c r="K384" s="7" t="s">
        <v>3387</v>
      </c>
      <c r="L384" s="7" t="s">
        <v>3429</v>
      </c>
      <c r="M384" s="12"/>
    </row>
    <row r="385" spans="1:13" ht="15.2" customHeight="1" x14ac:dyDescent="0.2">
      <c r="A385" s="6" t="s">
        <v>1877</v>
      </c>
      <c r="B385" s="7" t="s">
        <v>1878</v>
      </c>
      <c r="C385" s="8">
        <v>1</v>
      </c>
      <c r="D385" s="9">
        <v>6.5</v>
      </c>
      <c r="E385" s="9">
        <v>6.5</v>
      </c>
      <c r="F385" s="10">
        <v>12.99</v>
      </c>
      <c r="G385" s="9">
        <v>12.99</v>
      </c>
      <c r="H385" s="8" t="s">
        <v>1876</v>
      </c>
      <c r="I385" s="7"/>
      <c r="J385" s="11" t="s">
        <v>3242</v>
      </c>
      <c r="K385" s="7" t="s">
        <v>3387</v>
      </c>
      <c r="L385" s="7" t="s">
        <v>3410</v>
      </c>
      <c r="M385" s="12"/>
    </row>
    <row r="386" spans="1:13" ht="15.2" customHeight="1" x14ac:dyDescent="0.2">
      <c r="A386" s="6" t="s">
        <v>1879</v>
      </c>
      <c r="B386" s="7" t="s">
        <v>1880</v>
      </c>
      <c r="C386" s="8">
        <v>1</v>
      </c>
      <c r="D386" s="9">
        <v>6.35</v>
      </c>
      <c r="E386" s="9">
        <v>6.35</v>
      </c>
      <c r="F386" s="10">
        <v>12.99</v>
      </c>
      <c r="G386" s="9">
        <v>12.99</v>
      </c>
      <c r="H386" s="8" t="s">
        <v>1695</v>
      </c>
      <c r="I386" s="7" t="s">
        <v>3396</v>
      </c>
      <c r="J386" s="11" t="s">
        <v>3202</v>
      </c>
      <c r="K386" s="7" t="s">
        <v>3387</v>
      </c>
      <c r="L386" s="7" t="s">
        <v>3410</v>
      </c>
      <c r="M386" s="12"/>
    </row>
    <row r="387" spans="1:13" ht="15.2" customHeight="1" x14ac:dyDescent="0.2">
      <c r="A387" s="6" t="s">
        <v>1693</v>
      </c>
      <c r="B387" s="7" t="s">
        <v>1694</v>
      </c>
      <c r="C387" s="8">
        <v>1</v>
      </c>
      <c r="D387" s="9">
        <v>6.35</v>
      </c>
      <c r="E387" s="9">
        <v>6.35</v>
      </c>
      <c r="F387" s="10">
        <v>12.99</v>
      </c>
      <c r="G387" s="9">
        <v>12.99</v>
      </c>
      <c r="H387" s="8" t="s">
        <v>1695</v>
      </c>
      <c r="I387" s="7" t="s">
        <v>3396</v>
      </c>
      <c r="J387" s="11" t="s">
        <v>3220</v>
      </c>
      <c r="K387" s="7" t="s">
        <v>3387</v>
      </c>
      <c r="L387" s="7" t="s">
        <v>3410</v>
      </c>
      <c r="M387" s="12"/>
    </row>
    <row r="388" spans="1:13" ht="15.2" customHeight="1" x14ac:dyDescent="0.2">
      <c r="A388" s="6" t="s">
        <v>1881</v>
      </c>
      <c r="B388" s="7" t="s">
        <v>1882</v>
      </c>
      <c r="C388" s="8">
        <v>1</v>
      </c>
      <c r="D388" s="9">
        <v>6.35</v>
      </c>
      <c r="E388" s="9">
        <v>6.35</v>
      </c>
      <c r="F388" s="10">
        <v>12.99</v>
      </c>
      <c r="G388" s="9">
        <v>12.99</v>
      </c>
      <c r="H388" s="8" t="s">
        <v>1695</v>
      </c>
      <c r="I388" s="7" t="s">
        <v>3396</v>
      </c>
      <c r="J388" s="11" t="s">
        <v>3186</v>
      </c>
      <c r="K388" s="7" t="s">
        <v>3387</v>
      </c>
      <c r="L388" s="7" t="s">
        <v>3410</v>
      </c>
      <c r="M388" s="12"/>
    </row>
    <row r="389" spans="1:13" ht="15.2" customHeight="1" x14ac:dyDescent="0.2">
      <c r="A389" s="6" t="s">
        <v>648</v>
      </c>
      <c r="B389" s="7" t="s">
        <v>4211</v>
      </c>
      <c r="C389" s="8">
        <v>1</v>
      </c>
      <c r="D389" s="9">
        <v>6.32</v>
      </c>
      <c r="E389" s="9">
        <v>6.32</v>
      </c>
      <c r="F389" s="10">
        <v>14.99</v>
      </c>
      <c r="G389" s="9">
        <v>14.99</v>
      </c>
      <c r="H389" s="8" t="s">
        <v>4212</v>
      </c>
      <c r="I389" s="7" t="s">
        <v>3394</v>
      </c>
      <c r="J389" s="11" t="s">
        <v>3220</v>
      </c>
      <c r="K389" s="7" t="s">
        <v>3300</v>
      </c>
      <c r="L389" s="7" t="s">
        <v>3301</v>
      </c>
      <c r="M389" s="12"/>
    </row>
    <row r="390" spans="1:13" ht="15.2" customHeight="1" x14ac:dyDescent="0.2">
      <c r="A390" s="6" t="s">
        <v>649</v>
      </c>
      <c r="B390" s="7" t="s">
        <v>4213</v>
      </c>
      <c r="C390" s="8">
        <v>1</v>
      </c>
      <c r="D390" s="9">
        <v>6.3</v>
      </c>
      <c r="E390" s="9">
        <v>6.3</v>
      </c>
      <c r="F390" s="10">
        <v>14.99</v>
      </c>
      <c r="G390" s="9">
        <v>14.99</v>
      </c>
      <c r="H390" s="8" t="s">
        <v>4214</v>
      </c>
      <c r="I390" s="7" t="s">
        <v>3252</v>
      </c>
      <c r="J390" s="11" t="s">
        <v>3231</v>
      </c>
      <c r="K390" s="7" t="s">
        <v>3300</v>
      </c>
      <c r="L390" s="7" t="s">
        <v>3301</v>
      </c>
      <c r="M390" s="12"/>
    </row>
    <row r="391" spans="1:13" ht="15.2" customHeight="1" x14ac:dyDescent="0.2">
      <c r="A391" s="6" t="s">
        <v>1699</v>
      </c>
      <c r="B391" s="7" t="s">
        <v>1700</v>
      </c>
      <c r="C391" s="8">
        <v>1</v>
      </c>
      <c r="D391" s="9">
        <v>6.25</v>
      </c>
      <c r="E391" s="9">
        <v>6.25</v>
      </c>
      <c r="F391" s="10">
        <v>12.99</v>
      </c>
      <c r="G391" s="9">
        <v>12.99</v>
      </c>
      <c r="H391" s="8" t="s">
        <v>1701</v>
      </c>
      <c r="I391" s="7" t="s">
        <v>3216</v>
      </c>
      <c r="J391" s="11" t="s">
        <v>3220</v>
      </c>
      <c r="K391" s="7" t="s">
        <v>3387</v>
      </c>
      <c r="L391" s="7" t="s">
        <v>3410</v>
      </c>
      <c r="M391" s="12"/>
    </row>
    <row r="392" spans="1:13" ht="15.2" customHeight="1" x14ac:dyDescent="0.2">
      <c r="A392" s="6" t="s">
        <v>2029</v>
      </c>
      <c r="B392" s="7" t="s">
        <v>2030</v>
      </c>
      <c r="C392" s="8">
        <v>1</v>
      </c>
      <c r="D392" s="9">
        <v>6.25</v>
      </c>
      <c r="E392" s="9">
        <v>6.25</v>
      </c>
      <c r="F392" s="10">
        <v>13.99</v>
      </c>
      <c r="G392" s="9">
        <v>13.99</v>
      </c>
      <c r="H392" s="8" t="s">
        <v>3598</v>
      </c>
      <c r="I392" s="7" t="s">
        <v>3185</v>
      </c>
      <c r="J392" s="11" t="s">
        <v>3220</v>
      </c>
      <c r="K392" s="7" t="s">
        <v>3387</v>
      </c>
      <c r="L392" s="7" t="s">
        <v>3371</v>
      </c>
      <c r="M392" s="12"/>
    </row>
    <row r="393" spans="1:13" ht="15.2" customHeight="1" x14ac:dyDescent="0.2">
      <c r="A393" s="6" t="s">
        <v>1974</v>
      </c>
      <c r="B393" s="7" t="s">
        <v>1975</v>
      </c>
      <c r="C393" s="8">
        <v>1</v>
      </c>
      <c r="D393" s="9">
        <v>6.25</v>
      </c>
      <c r="E393" s="9">
        <v>6.25</v>
      </c>
      <c r="F393" s="10">
        <v>12.99</v>
      </c>
      <c r="G393" s="9">
        <v>12.99</v>
      </c>
      <c r="H393" s="8" t="s">
        <v>1698</v>
      </c>
      <c r="I393" s="7" t="s">
        <v>3207</v>
      </c>
      <c r="J393" s="11" t="s">
        <v>3220</v>
      </c>
      <c r="K393" s="7" t="s">
        <v>3387</v>
      </c>
      <c r="L393" s="7" t="s">
        <v>3410</v>
      </c>
      <c r="M393" s="12"/>
    </row>
    <row r="394" spans="1:13" ht="15.2" customHeight="1" x14ac:dyDescent="0.2">
      <c r="A394" s="6" t="s">
        <v>650</v>
      </c>
      <c r="B394" s="7" t="s">
        <v>651</v>
      </c>
      <c r="C394" s="8">
        <v>1</v>
      </c>
      <c r="D394" s="9">
        <v>6.25</v>
      </c>
      <c r="E394" s="9">
        <v>6.25</v>
      </c>
      <c r="F394" s="10">
        <v>12.99</v>
      </c>
      <c r="G394" s="9">
        <v>12.99</v>
      </c>
      <c r="H394" s="8" t="s">
        <v>652</v>
      </c>
      <c r="I394" s="7" t="s">
        <v>3252</v>
      </c>
      <c r="J394" s="11" t="s">
        <v>3186</v>
      </c>
      <c r="K394" s="7" t="s">
        <v>3387</v>
      </c>
      <c r="L394" s="7" t="s">
        <v>3440</v>
      </c>
      <c r="M394" s="12"/>
    </row>
    <row r="395" spans="1:13" ht="15.2" customHeight="1" x14ac:dyDescent="0.2">
      <c r="A395" s="6" t="s">
        <v>1780</v>
      </c>
      <c r="B395" s="7" t="s">
        <v>1781</v>
      </c>
      <c r="C395" s="8">
        <v>1</v>
      </c>
      <c r="D395" s="9">
        <v>6.25</v>
      </c>
      <c r="E395" s="9">
        <v>6.25</v>
      </c>
      <c r="F395" s="10">
        <v>12.99</v>
      </c>
      <c r="G395" s="9">
        <v>12.99</v>
      </c>
      <c r="H395" s="8" t="s">
        <v>1701</v>
      </c>
      <c r="I395" s="7" t="s">
        <v>3216</v>
      </c>
      <c r="J395" s="11" t="s">
        <v>3231</v>
      </c>
      <c r="K395" s="7" t="s">
        <v>3387</v>
      </c>
      <c r="L395" s="7" t="s">
        <v>3410</v>
      </c>
      <c r="M395" s="12"/>
    </row>
    <row r="396" spans="1:13" ht="15.2" customHeight="1" x14ac:dyDescent="0.2">
      <c r="A396" s="6" t="s">
        <v>2103</v>
      </c>
      <c r="B396" s="7" t="s">
        <v>2104</v>
      </c>
      <c r="C396" s="8">
        <v>2</v>
      </c>
      <c r="D396" s="9">
        <v>6.25</v>
      </c>
      <c r="E396" s="9">
        <v>12.5</v>
      </c>
      <c r="F396" s="10">
        <v>12.99</v>
      </c>
      <c r="G396" s="9">
        <v>25.98</v>
      </c>
      <c r="H396" s="8" t="s">
        <v>2102</v>
      </c>
      <c r="I396" s="7" t="s">
        <v>3252</v>
      </c>
      <c r="J396" s="11" t="s">
        <v>3220</v>
      </c>
      <c r="K396" s="7" t="s">
        <v>3387</v>
      </c>
      <c r="L396" s="7" t="s">
        <v>3440</v>
      </c>
      <c r="M396" s="12"/>
    </row>
    <row r="397" spans="1:13" ht="15.2" customHeight="1" x14ac:dyDescent="0.2">
      <c r="A397" s="6" t="s">
        <v>653</v>
      </c>
      <c r="B397" s="7" t="s">
        <v>2188</v>
      </c>
      <c r="C397" s="8">
        <v>1</v>
      </c>
      <c r="D397" s="9">
        <v>6.25</v>
      </c>
      <c r="E397" s="9">
        <v>6.25</v>
      </c>
      <c r="F397" s="10">
        <v>14.99</v>
      </c>
      <c r="G397" s="9">
        <v>14.99</v>
      </c>
      <c r="H397" s="8" t="s">
        <v>2189</v>
      </c>
      <c r="I397" s="7" t="s">
        <v>3355</v>
      </c>
      <c r="J397" s="11" t="s">
        <v>3202</v>
      </c>
      <c r="K397" s="7" t="s">
        <v>3300</v>
      </c>
      <c r="L397" s="7" t="s">
        <v>3301</v>
      </c>
      <c r="M397" s="12"/>
    </row>
    <row r="398" spans="1:13" ht="15.2" customHeight="1" x14ac:dyDescent="0.2">
      <c r="A398" s="6" t="s">
        <v>2105</v>
      </c>
      <c r="B398" s="7" t="s">
        <v>2106</v>
      </c>
      <c r="C398" s="8">
        <v>5</v>
      </c>
      <c r="D398" s="9">
        <v>6.25</v>
      </c>
      <c r="E398" s="9">
        <v>31.25</v>
      </c>
      <c r="F398" s="10">
        <v>12.99</v>
      </c>
      <c r="G398" s="9">
        <v>64.95</v>
      </c>
      <c r="H398" s="8" t="s">
        <v>2102</v>
      </c>
      <c r="I398" s="7" t="s">
        <v>3252</v>
      </c>
      <c r="J398" s="11" t="s">
        <v>3186</v>
      </c>
      <c r="K398" s="7" t="s">
        <v>3387</v>
      </c>
      <c r="L398" s="7" t="s">
        <v>3440</v>
      </c>
      <c r="M398" s="12"/>
    </row>
    <row r="399" spans="1:13" ht="15.2" customHeight="1" x14ac:dyDescent="0.2">
      <c r="A399" s="6" t="s">
        <v>1782</v>
      </c>
      <c r="B399" s="7" t="s">
        <v>1783</v>
      </c>
      <c r="C399" s="8">
        <v>1</v>
      </c>
      <c r="D399" s="9">
        <v>6.25</v>
      </c>
      <c r="E399" s="9">
        <v>6.25</v>
      </c>
      <c r="F399" s="10">
        <v>12.99</v>
      </c>
      <c r="G399" s="9">
        <v>12.99</v>
      </c>
      <c r="H399" s="8" t="s">
        <v>1701</v>
      </c>
      <c r="I399" s="7" t="s">
        <v>3216</v>
      </c>
      <c r="J399" s="11" t="s">
        <v>3202</v>
      </c>
      <c r="K399" s="7" t="s">
        <v>3387</v>
      </c>
      <c r="L399" s="7" t="s">
        <v>3410</v>
      </c>
      <c r="M399" s="12"/>
    </row>
    <row r="400" spans="1:13" ht="15.2" customHeight="1" x14ac:dyDescent="0.2">
      <c r="A400" s="6" t="s">
        <v>654</v>
      </c>
      <c r="B400" s="7" t="s">
        <v>655</v>
      </c>
      <c r="C400" s="8">
        <v>1</v>
      </c>
      <c r="D400" s="9">
        <v>6.25</v>
      </c>
      <c r="E400" s="9">
        <v>6.25</v>
      </c>
      <c r="F400" s="10">
        <v>12.99</v>
      </c>
      <c r="G400" s="9">
        <v>12.99</v>
      </c>
      <c r="H400" s="8" t="s">
        <v>1698</v>
      </c>
      <c r="I400" s="7" t="s">
        <v>3207</v>
      </c>
      <c r="J400" s="11" t="s">
        <v>3231</v>
      </c>
      <c r="K400" s="7" t="s">
        <v>3387</v>
      </c>
      <c r="L400" s="7" t="s">
        <v>3410</v>
      </c>
      <c r="M400" s="12"/>
    </row>
    <row r="401" spans="1:13" ht="15.2" customHeight="1" x14ac:dyDescent="0.2">
      <c r="A401" s="6" t="s">
        <v>656</v>
      </c>
      <c r="B401" s="7" t="s">
        <v>657</v>
      </c>
      <c r="C401" s="8">
        <v>1</v>
      </c>
      <c r="D401" s="9">
        <v>6</v>
      </c>
      <c r="E401" s="9">
        <v>6</v>
      </c>
      <c r="F401" s="10">
        <v>12.99</v>
      </c>
      <c r="G401" s="9">
        <v>12.99</v>
      </c>
      <c r="H401" s="8" t="s">
        <v>3600</v>
      </c>
      <c r="I401" s="7" t="s">
        <v>3252</v>
      </c>
      <c r="J401" s="11" t="s">
        <v>3186</v>
      </c>
      <c r="K401" s="7" t="s">
        <v>3387</v>
      </c>
      <c r="L401" s="7" t="s">
        <v>3425</v>
      </c>
      <c r="M401" s="12"/>
    </row>
    <row r="402" spans="1:13" ht="15.2" customHeight="1" x14ac:dyDescent="0.2">
      <c r="A402" s="6" t="s">
        <v>658</v>
      </c>
      <c r="B402" s="7" t="s">
        <v>659</v>
      </c>
      <c r="C402" s="8">
        <v>1</v>
      </c>
      <c r="D402" s="9">
        <v>6</v>
      </c>
      <c r="E402" s="9">
        <v>6</v>
      </c>
      <c r="F402" s="10">
        <v>13.99</v>
      </c>
      <c r="G402" s="9">
        <v>13.99</v>
      </c>
      <c r="H402" s="8" t="s">
        <v>1976</v>
      </c>
      <c r="I402" s="7" t="s">
        <v>3185</v>
      </c>
      <c r="J402" s="11" t="s">
        <v>3202</v>
      </c>
      <c r="K402" s="7" t="s">
        <v>3387</v>
      </c>
      <c r="L402" s="7" t="s">
        <v>3356</v>
      </c>
      <c r="M402" s="12"/>
    </row>
    <row r="403" spans="1:13" ht="15.2" customHeight="1" x14ac:dyDescent="0.2">
      <c r="A403" s="6" t="s">
        <v>660</v>
      </c>
      <c r="B403" s="7" t="s">
        <v>661</v>
      </c>
      <c r="C403" s="8">
        <v>1</v>
      </c>
      <c r="D403" s="9">
        <v>5.9</v>
      </c>
      <c r="E403" s="9">
        <v>5.9</v>
      </c>
      <c r="F403" s="10">
        <v>13.99</v>
      </c>
      <c r="G403" s="9">
        <v>13.99</v>
      </c>
      <c r="H403" s="8" t="s">
        <v>1885</v>
      </c>
      <c r="I403" s="7" t="s">
        <v>3185</v>
      </c>
      <c r="J403" s="11" t="s">
        <v>3202</v>
      </c>
      <c r="K403" s="7" t="s">
        <v>3387</v>
      </c>
      <c r="L403" s="7" t="s">
        <v>3344</v>
      </c>
      <c r="M403" s="12"/>
    </row>
    <row r="404" spans="1:13" ht="15.2" customHeight="1" x14ac:dyDescent="0.2">
      <c r="A404" s="6" t="s">
        <v>662</v>
      </c>
      <c r="B404" s="7" t="s">
        <v>663</v>
      </c>
      <c r="C404" s="8">
        <v>1</v>
      </c>
      <c r="D404" s="9">
        <v>5.9</v>
      </c>
      <c r="E404" s="9">
        <v>5.9</v>
      </c>
      <c r="F404" s="10">
        <v>13.99</v>
      </c>
      <c r="G404" s="9">
        <v>13.99</v>
      </c>
      <c r="H404" s="8" t="s">
        <v>1885</v>
      </c>
      <c r="I404" s="7" t="s">
        <v>3911</v>
      </c>
      <c r="J404" s="11" t="s">
        <v>3220</v>
      </c>
      <c r="K404" s="7" t="s">
        <v>3387</v>
      </c>
      <c r="L404" s="7" t="s">
        <v>3344</v>
      </c>
      <c r="M404" s="12"/>
    </row>
    <row r="405" spans="1:13" ht="15.2" customHeight="1" x14ac:dyDescent="0.2">
      <c r="A405" s="6" t="s">
        <v>2191</v>
      </c>
      <c r="B405" s="7" t="s">
        <v>3602</v>
      </c>
      <c r="C405" s="8">
        <v>1</v>
      </c>
      <c r="D405" s="9">
        <v>5.75</v>
      </c>
      <c r="E405" s="9">
        <v>5.75</v>
      </c>
      <c r="F405" s="10">
        <v>12.99</v>
      </c>
      <c r="G405" s="9">
        <v>12.99</v>
      </c>
      <c r="H405" s="8" t="s">
        <v>3603</v>
      </c>
      <c r="I405" s="7" t="s">
        <v>3185</v>
      </c>
      <c r="J405" s="11" t="s">
        <v>3231</v>
      </c>
      <c r="K405" s="7" t="s">
        <v>3387</v>
      </c>
      <c r="L405" s="7" t="s">
        <v>3440</v>
      </c>
      <c r="M405" s="12"/>
    </row>
    <row r="406" spans="1:13" ht="15.2" customHeight="1" x14ac:dyDescent="0.2">
      <c r="A406" s="6" t="s">
        <v>664</v>
      </c>
      <c r="B406" s="7" t="s">
        <v>665</v>
      </c>
      <c r="C406" s="8">
        <v>1</v>
      </c>
      <c r="D406" s="9">
        <v>5.75</v>
      </c>
      <c r="E406" s="9">
        <v>5.75</v>
      </c>
      <c r="F406" s="10">
        <v>13.99</v>
      </c>
      <c r="G406" s="9">
        <v>13.99</v>
      </c>
      <c r="H406" s="8" t="s">
        <v>1888</v>
      </c>
      <c r="I406" s="7" t="s">
        <v>3214</v>
      </c>
      <c r="J406" s="11" t="s">
        <v>3242</v>
      </c>
      <c r="K406" s="7" t="s">
        <v>3387</v>
      </c>
      <c r="L406" s="7" t="s">
        <v>3404</v>
      </c>
      <c r="M406" s="12"/>
    </row>
    <row r="407" spans="1:13" ht="15.2" customHeight="1" x14ac:dyDescent="0.2">
      <c r="A407" s="6" t="s">
        <v>666</v>
      </c>
      <c r="B407" s="7" t="s">
        <v>667</v>
      </c>
      <c r="C407" s="8">
        <v>1</v>
      </c>
      <c r="D407" s="9">
        <v>5.7</v>
      </c>
      <c r="E407" s="9">
        <v>5.7</v>
      </c>
      <c r="F407" s="10">
        <v>14.99</v>
      </c>
      <c r="G407" s="9">
        <v>14.99</v>
      </c>
      <c r="H407" s="8">
        <v>60453403</v>
      </c>
      <c r="I407" s="7" t="s">
        <v>3185</v>
      </c>
      <c r="J407" s="11" t="s">
        <v>3202</v>
      </c>
      <c r="K407" s="7" t="s">
        <v>3334</v>
      </c>
      <c r="L407" s="7" t="s">
        <v>3368</v>
      </c>
      <c r="M407" s="12"/>
    </row>
    <row r="408" spans="1:13" ht="15.2" customHeight="1" x14ac:dyDescent="0.2">
      <c r="A408" s="6" t="s">
        <v>3609</v>
      </c>
      <c r="B408" s="7" t="s">
        <v>3610</v>
      </c>
      <c r="C408" s="8">
        <v>1</v>
      </c>
      <c r="D408" s="9">
        <v>5.5</v>
      </c>
      <c r="E408" s="9">
        <v>5.5</v>
      </c>
      <c r="F408" s="10">
        <v>13.99</v>
      </c>
      <c r="G408" s="9">
        <v>13.99</v>
      </c>
      <c r="H408" s="8" t="s">
        <v>3606</v>
      </c>
      <c r="I408" s="7" t="s">
        <v>3257</v>
      </c>
      <c r="J408" s="11" t="s">
        <v>3236</v>
      </c>
      <c r="K408" s="7" t="s">
        <v>3241</v>
      </c>
      <c r="L408" s="7" t="s">
        <v>3427</v>
      </c>
      <c r="M408" s="12"/>
    </row>
    <row r="409" spans="1:13" ht="15.2" customHeight="1" x14ac:dyDescent="0.2">
      <c r="A409" s="6" t="s">
        <v>3611</v>
      </c>
      <c r="B409" s="7" t="s">
        <v>3612</v>
      </c>
      <c r="C409" s="8">
        <v>1</v>
      </c>
      <c r="D409" s="9">
        <v>5.5</v>
      </c>
      <c r="E409" s="9">
        <v>5.5</v>
      </c>
      <c r="F409" s="10">
        <v>13.99</v>
      </c>
      <c r="G409" s="9">
        <v>13.99</v>
      </c>
      <c r="H409" s="8" t="s">
        <v>3606</v>
      </c>
      <c r="I409" s="7" t="s">
        <v>3234</v>
      </c>
      <c r="J409" s="11" t="s">
        <v>3186</v>
      </c>
      <c r="K409" s="7" t="s">
        <v>3241</v>
      </c>
      <c r="L409" s="7" t="s">
        <v>3427</v>
      </c>
      <c r="M409" s="12"/>
    </row>
    <row r="410" spans="1:13" ht="15.2" customHeight="1" x14ac:dyDescent="0.2">
      <c r="A410" s="6" t="s">
        <v>1583</v>
      </c>
      <c r="B410" s="7" t="s">
        <v>1584</v>
      </c>
      <c r="C410" s="8">
        <v>1</v>
      </c>
      <c r="D410" s="9">
        <v>5.5</v>
      </c>
      <c r="E410" s="9">
        <v>5.5</v>
      </c>
      <c r="F410" s="10">
        <v>12.99</v>
      </c>
      <c r="G410" s="9">
        <v>12.99</v>
      </c>
      <c r="H410" s="8" t="s">
        <v>1577</v>
      </c>
      <c r="I410" s="7" t="s">
        <v>3185</v>
      </c>
      <c r="J410" s="11" t="s">
        <v>3202</v>
      </c>
      <c r="K410" s="7" t="s">
        <v>3387</v>
      </c>
      <c r="L410" s="7" t="s">
        <v>3388</v>
      </c>
      <c r="M410" s="12"/>
    </row>
    <row r="411" spans="1:13" ht="15.2" customHeight="1" x14ac:dyDescent="0.2">
      <c r="A411" s="6" t="s">
        <v>668</v>
      </c>
      <c r="B411" s="7" t="s">
        <v>669</v>
      </c>
      <c r="C411" s="8">
        <v>1</v>
      </c>
      <c r="D411" s="9">
        <v>5.5</v>
      </c>
      <c r="E411" s="9">
        <v>5.5</v>
      </c>
      <c r="F411" s="10">
        <v>12.99</v>
      </c>
      <c r="G411" s="9">
        <v>12.99</v>
      </c>
      <c r="H411" s="8" t="s">
        <v>1981</v>
      </c>
      <c r="I411" s="7" t="s">
        <v>3321</v>
      </c>
      <c r="J411" s="11" t="s">
        <v>3220</v>
      </c>
      <c r="K411" s="7" t="s">
        <v>3387</v>
      </c>
      <c r="L411" s="7" t="s">
        <v>3388</v>
      </c>
      <c r="M411" s="12"/>
    </row>
    <row r="412" spans="1:13" ht="15.2" customHeight="1" x14ac:dyDescent="0.2">
      <c r="A412" s="6" t="s">
        <v>1977</v>
      </c>
      <c r="B412" s="7" t="s">
        <v>1978</v>
      </c>
      <c r="C412" s="8">
        <v>1</v>
      </c>
      <c r="D412" s="9">
        <v>5.5</v>
      </c>
      <c r="E412" s="9">
        <v>5.5</v>
      </c>
      <c r="F412" s="10">
        <v>12.99</v>
      </c>
      <c r="G412" s="9">
        <v>12.99</v>
      </c>
      <c r="H412" s="8" t="s">
        <v>1890</v>
      </c>
      <c r="I412" s="7" t="s">
        <v>3257</v>
      </c>
      <c r="J412" s="11" t="s">
        <v>3186</v>
      </c>
      <c r="K412" s="7" t="s">
        <v>3387</v>
      </c>
      <c r="L412" s="7" t="s">
        <v>3388</v>
      </c>
      <c r="M412" s="12"/>
    </row>
    <row r="413" spans="1:13" ht="15.2" customHeight="1" x14ac:dyDescent="0.2">
      <c r="A413" s="6" t="s">
        <v>670</v>
      </c>
      <c r="B413" s="7" t="s">
        <v>671</v>
      </c>
      <c r="C413" s="8">
        <v>1</v>
      </c>
      <c r="D413" s="9">
        <v>5.0999999999999996</v>
      </c>
      <c r="E413" s="9">
        <v>5.0999999999999996</v>
      </c>
      <c r="F413" s="10">
        <v>12.99</v>
      </c>
      <c r="G413" s="9">
        <v>12.99</v>
      </c>
      <c r="H413" s="8" t="s">
        <v>1704</v>
      </c>
      <c r="I413" s="7" t="s">
        <v>3321</v>
      </c>
      <c r="J413" s="11" t="s">
        <v>3242</v>
      </c>
      <c r="K413" s="7" t="s">
        <v>3387</v>
      </c>
      <c r="L413" s="7" t="s">
        <v>3410</v>
      </c>
      <c r="M413" s="12"/>
    </row>
    <row r="414" spans="1:13" ht="15.2" customHeight="1" x14ac:dyDescent="0.2">
      <c r="A414" s="6" t="s">
        <v>672</v>
      </c>
      <c r="B414" s="7" t="s">
        <v>673</v>
      </c>
      <c r="C414" s="8">
        <v>2</v>
      </c>
      <c r="D414" s="9">
        <v>5.0999999999999996</v>
      </c>
      <c r="E414" s="9">
        <v>10.199999999999999</v>
      </c>
      <c r="F414" s="10">
        <v>12.99</v>
      </c>
      <c r="G414" s="9">
        <v>25.98</v>
      </c>
      <c r="H414" s="8" t="s">
        <v>1704</v>
      </c>
      <c r="I414" s="7" t="s">
        <v>3321</v>
      </c>
      <c r="J414" s="11" t="s">
        <v>3231</v>
      </c>
      <c r="K414" s="7" t="s">
        <v>3387</v>
      </c>
      <c r="L414" s="7" t="s">
        <v>3410</v>
      </c>
      <c r="M414" s="12"/>
    </row>
    <row r="415" spans="1:13" ht="15.2" customHeight="1" x14ac:dyDescent="0.2">
      <c r="A415" s="6" t="s">
        <v>2354</v>
      </c>
      <c r="B415" s="7" t="s">
        <v>3825</v>
      </c>
      <c r="C415" s="8">
        <v>1</v>
      </c>
      <c r="D415" s="9">
        <v>3.25</v>
      </c>
      <c r="E415" s="9">
        <v>3.25</v>
      </c>
      <c r="F415" s="10">
        <v>34</v>
      </c>
      <c r="G415" s="9">
        <v>34</v>
      </c>
      <c r="H415" s="8">
        <v>11221</v>
      </c>
      <c r="I415" s="7" t="s">
        <v>3191</v>
      </c>
      <c r="J415" s="11" t="s">
        <v>3229</v>
      </c>
      <c r="K415" s="7" t="s">
        <v>3281</v>
      </c>
      <c r="L415" s="7" t="s">
        <v>3824</v>
      </c>
      <c r="M415" s="12"/>
    </row>
  </sheetData>
  <phoneticPr fontId="0" type="noConversion"/>
  <pageMargins left="0.5" right="0.5" top="0.25" bottom="0.25" header="0.3" footer="0.3"/>
  <pageSetup scale="65" orientation="landscape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1"/>
  <sheetViews>
    <sheetView workbookViewId="0">
      <selection activeCell="B27" sqref="B27"/>
    </sheetView>
  </sheetViews>
  <sheetFormatPr defaultRowHeight="15.2" customHeight="1" x14ac:dyDescent="0.2"/>
  <cols>
    <col min="1" max="1" width="14.85546875" style="1" bestFit="1" customWidth="1"/>
    <col min="2" max="2" width="80" style="1" bestFit="1" customWidth="1"/>
    <col min="3" max="3" width="6.42578125" style="1" bestFit="1" customWidth="1"/>
    <col min="4" max="4" width="7.5703125" style="1" bestFit="1" customWidth="1"/>
    <col min="5" max="5" width="9.5703125" style="1" bestFit="1" customWidth="1"/>
    <col min="6" max="6" width="8.7109375" style="1" bestFit="1" customWidth="1"/>
    <col min="7" max="7" width="11.140625" style="1" bestFit="1" customWidth="1"/>
    <col min="8" max="8" width="22.7109375" style="1" bestFit="1" customWidth="1"/>
    <col min="9" max="9" width="14.7109375" style="1" bestFit="1" customWidth="1"/>
    <col min="10" max="10" width="12.85546875" style="1" bestFit="1" customWidth="1"/>
    <col min="11" max="11" width="16.42578125" style="1" bestFit="1" customWidth="1"/>
    <col min="12" max="12" width="43.7109375" style="1" bestFit="1" customWidth="1"/>
    <col min="13" max="13" width="49.42578125" style="1" bestFit="1" customWidth="1"/>
    <col min="14" max="16384" width="9.140625" style="1"/>
  </cols>
  <sheetData>
    <row r="1" spans="1:13" ht="15.2" customHeight="1" x14ac:dyDescent="0.2">
      <c r="A1" s="5" t="s">
        <v>3181</v>
      </c>
      <c r="B1" s="5" t="s">
        <v>249</v>
      </c>
      <c r="C1" s="5" t="s">
        <v>236</v>
      </c>
      <c r="D1" s="5" t="s">
        <v>247</v>
      </c>
      <c r="E1" s="5" t="s">
        <v>248</v>
      </c>
      <c r="F1" s="5" t="s">
        <v>239</v>
      </c>
      <c r="G1" s="5" t="s">
        <v>240</v>
      </c>
      <c r="H1" s="5" t="s">
        <v>241</v>
      </c>
      <c r="I1" s="5" t="s">
        <v>242</v>
      </c>
      <c r="J1" s="5" t="s">
        <v>243</v>
      </c>
      <c r="K1" s="5" t="s">
        <v>244</v>
      </c>
      <c r="L1" s="5" t="s">
        <v>245</v>
      </c>
      <c r="M1" s="5" t="s">
        <v>246</v>
      </c>
    </row>
    <row r="2" spans="1:13" ht="15.2" customHeight="1" x14ac:dyDescent="0.2">
      <c r="A2" s="6" t="s">
        <v>748</v>
      </c>
      <c r="B2" s="7" t="s">
        <v>749</v>
      </c>
      <c r="C2" s="8">
        <v>1</v>
      </c>
      <c r="D2" s="9">
        <v>98.75</v>
      </c>
      <c r="E2" s="9">
        <v>98.75</v>
      </c>
      <c r="F2" s="10">
        <v>299</v>
      </c>
      <c r="G2" s="9">
        <v>299</v>
      </c>
      <c r="H2" s="8" t="s">
        <v>750</v>
      </c>
      <c r="I2" s="7" t="s">
        <v>3911</v>
      </c>
      <c r="J2" s="11" t="s">
        <v>3347</v>
      </c>
      <c r="K2" s="7" t="s">
        <v>3205</v>
      </c>
      <c r="L2" s="7" t="s">
        <v>3206</v>
      </c>
      <c r="M2" s="12" t="str">
        <f>HYPERLINK("http://slimages.macys.com/is/image/MCY/2646691 ")</f>
        <v xml:space="preserve">http://slimages.macys.com/is/image/MCY/2646691 </v>
      </c>
    </row>
    <row r="3" spans="1:13" ht="15.2" customHeight="1" x14ac:dyDescent="0.2">
      <c r="A3" s="6" t="s">
        <v>3827</v>
      </c>
      <c r="B3" s="7" t="s">
        <v>3828</v>
      </c>
      <c r="C3" s="8">
        <v>2</v>
      </c>
      <c r="D3" s="9">
        <v>31.83</v>
      </c>
      <c r="E3" s="9">
        <v>63.66</v>
      </c>
      <c r="F3" s="10">
        <v>72.989999999999995</v>
      </c>
      <c r="G3" s="9">
        <v>145.97999999999999</v>
      </c>
      <c r="H3" s="8" t="s">
        <v>3635</v>
      </c>
      <c r="I3" s="7" t="s">
        <v>3416</v>
      </c>
      <c r="J3" s="11" t="s">
        <v>3202</v>
      </c>
      <c r="K3" s="7" t="s">
        <v>3221</v>
      </c>
      <c r="L3" s="7" t="s">
        <v>3631</v>
      </c>
      <c r="M3" s="12" t="str">
        <f>HYPERLINK("http://slimages.macys.com/is/image/MCY/3828767 ")</f>
        <v xml:space="preserve">http://slimages.macys.com/is/image/MCY/3828767 </v>
      </c>
    </row>
    <row r="4" spans="1:13" ht="15.2" customHeight="1" x14ac:dyDescent="0.2">
      <c r="A4" s="6" t="s">
        <v>751</v>
      </c>
      <c r="B4" s="7" t="s">
        <v>752</v>
      </c>
      <c r="C4" s="8">
        <v>1</v>
      </c>
      <c r="D4" s="9">
        <v>30</v>
      </c>
      <c r="E4" s="9">
        <v>30</v>
      </c>
      <c r="F4" s="10">
        <v>79.5</v>
      </c>
      <c r="G4" s="9">
        <v>79.5</v>
      </c>
      <c r="H4" s="8" t="s">
        <v>753</v>
      </c>
      <c r="I4" s="7"/>
      <c r="J4" s="11"/>
      <c r="K4" s="7" t="s">
        <v>3198</v>
      </c>
      <c r="L4" s="7" t="s">
        <v>3199</v>
      </c>
      <c r="M4" s="12" t="str">
        <f>HYPERLINK("http://slimages.macys.com/is/image/MCY/3652184 ")</f>
        <v xml:space="preserve">http://slimages.macys.com/is/image/MCY/3652184 </v>
      </c>
    </row>
    <row r="5" spans="1:13" ht="15.2" customHeight="1" x14ac:dyDescent="0.2">
      <c r="A5" s="6" t="s">
        <v>754</v>
      </c>
      <c r="B5" s="7" t="s">
        <v>755</v>
      </c>
      <c r="C5" s="8">
        <v>1</v>
      </c>
      <c r="D5" s="9">
        <v>27.49</v>
      </c>
      <c r="E5" s="9">
        <v>27.49</v>
      </c>
      <c r="F5" s="10">
        <v>79.5</v>
      </c>
      <c r="G5" s="9">
        <v>79.5</v>
      </c>
      <c r="H5" s="8" t="s">
        <v>3190</v>
      </c>
      <c r="I5" s="7" t="s">
        <v>3191</v>
      </c>
      <c r="J5" s="11" t="s">
        <v>3284</v>
      </c>
      <c r="K5" s="7" t="s">
        <v>3193</v>
      </c>
      <c r="L5" s="7" t="s">
        <v>3194</v>
      </c>
      <c r="M5" s="12" t="str">
        <f>HYPERLINK("http://slimages.macys.com/is/image/MCY/3743054 ")</f>
        <v xml:space="preserve">http://slimages.macys.com/is/image/MCY/3743054 </v>
      </c>
    </row>
    <row r="6" spans="1:13" ht="15.2" customHeight="1" x14ac:dyDescent="0.2">
      <c r="A6" s="6" t="s">
        <v>756</v>
      </c>
      <c r="B6" s="7" t="s">
        <v>757</v>
      </c>
      <c r="C6" s="8">
        <v>1</v>
      </c>
      <c r="D6" s="9">
        <v>27.2</v>
      </c>
      <c r="E6" s="9">
        <v>27.2</v>
      </c>
      <c r="F6" s="10">
        <v>79</v>
      </c>
      <c r="G6" s="9">
        <v>79</v>
      </c>
      <c r="H6" s="8" t="s">
        <v>758</v>
      </c>
      <c r="I6" s="7" t="s">
        <v>3185</v>
      </c>
      <c r="J6" s="11" t="s">
        <v>3231</v>
      </c>
      <c r="K6" s="7" t="s">
        <v>3222</v>
      </c>
      <c r="L6" s="7" t="s">
        <v>3223</v>
      </c>
      <c r="M6" s="12" t="str">
        <f>HYPERLINK("http://slimages.macys.com/is/image/MCY/3611265 ")</f>
        <v xml:space="preserve">http://slimages.macys.com/is/image/MCY/3611265 </v>
      </c>
    </row>
    <row r="7" spans="1:13" ht="15.2" customHeight="1" x14ac:dyDescent="0.2">
      <c r="A7" s="6" t="s">
        <v>759</v>
      </c>
      <c r="B7" s="7" t="s">
        <v>760</v>
      </c>
      <c r="C7" s="8">
        <v>1</v>
      </c>
      <c r="D7" s="9">
        <v>27.2</v>
      </c>
      <c r="E7" s="9">
        <v>27.2</v>
      </c>
      <c r="F7" s="10">
        <v>79</v>
      </c>
      <c r="G7" s="9">
        <v>79</v>
      </c>
      <c r="H7" s="8" t="s">
        <v>761</v>
      </c>
      <c r="I7" s="7" t="s">
        <v>3185</v>
      </c>
      <c r="J7" s="11" t="s">
        <v>3220</v>
      </c>
      <c r="K7" s="7" t="s">
        <v>3222</v>
      </c>
      <c r="L7" s="7" t="s">
        <v>3223</v>
      </c>
      <c r="M7" s="12" t="str">
        <f>HYPERLINK("http://slimages.macys.com/is/image/MCY/3611448 ")</f>
        <v xml:space="preserve">http://slimages.macys.com/is/image/MCY/3611448 </v>
      </c>
    </row>
    <row r="8" spans="1:13" ht="15.2" customHeight="1" x14ac:dyDescent="0.2">
      <c r="A8" s="6" t="s">
        <v>762</v>
      </c>
      <c r="B8" s="7" t="s">
        <v>763</v>
      </c>
      <c r="C8" s="8">
        <v>1</v>
      </c>
      <c r="D8" s="9">
        <v>27.2</v>
      </c>
      <c r="E8" s="9">
        <v>27.2</v>
      </c>
      <c r="F8" s="10">
        <v>79</v>
      </c>
      <c r="G8" s="9">
        <v>79</v>
      </c>
      <c r="H8" s="8" t="s">
        <v>761</v>
      </c>
      <c r="I8" s="7" t="s">
        <v>3185</v>
      </c>
      <c r="J8" s="11" t="s">
        <v>3186</v>
      </c>
      <c r="K8" s="7" t="s">
        <v>3222</v>
      </c>
      <c r="L8" s="7" t="s">
        <v>3223</v>
      </c>
      <c r="M8" s="12" t="str">
        <f>HYPERLINK("http://slimages.macys.com/is/image/MCY/3611448 ")</f>
        <v xml:space="preserve">http://slimages.macys.com/is/image/MCY/3611448 </v>
      </c>
    </row>
    <row r="9" spans="1:13" ht="15.2" customHeight="1" x14ac:dyDescent="0.2">
      <c r="A9" s="6" t="s">
        <v>764</v>
      </c>
      <c r="B9" s="7" t="s">
        <v>765</v>
      </c>
      <c r="C9" s="8">
        <v>1</v>
      </c>
      <c r="D9" s="9">
        <v>26</v>
      </c>
      <c r="E9" s="9">
        <v>26</v>
      </c>
      <c r="F9" s="10">
        <v>79</v>
      </c>
      <c r="G9" s="9">
        <v>79</v>
      </c>
      <c r="H9" s="8" t="s">
        <v>1785</v>
      </c>
      <c r="I9" s="7" t="s">
        <v>3288</v>
      </c>
      <c r="J9" s="11" t="s">
        <v>3240</v>
      </c>
      <c r="K9" s="7" t="s">
        <v>3205</v>
      </c>
      <c r="L9" s="7" t="s">
        <v>3206</v>
      </c>
      <c r="M9" s="12" t="str">
        <f>HYPERLINK("http://slimages.macys.com/is/image/MCY/3773650 ")</f>
        <v xml:space="preserve">http://slimages.macys.com/is/image/MCY/3773650 </v>
      </c>
    </row>
    <row r="10" spans="1:13" ht="15.2" customHeight="1" x14ac:dyDescent="0.2">
      <c r="A10" s="6" t="s">
        <v>766</v>
      </c>
      <c r="B10" s="7" t="s">
        <v>767</v>
      </c>
      <c r="C10" s="8">
        <v>1</v>
      </c>
      <c r="D10" s="9">
        <v>23</v>
      </c>
      <c r="E10" s="9">
        <v>23</v>
      </c>
      <c r="F10" s="10">
        <v>59.5</v>
      </c>
      <c r="G10" s="9">
        <v>59.5</v>
      </c>
      <c r="H10" s="8" t="s">
        <v>768</v>
      </c>
      <c r="I10" s="7" t="s">
        <v>3376</v>
      </c>
      <c r="J10" s="11"/>
      <c r="K10" s="7" t="s">
        <v>3198</v>
      </c>
      <c r="L10" s="7" t="s">
        <v>3199</v>
      </c>
      <c r="M10" s="12" t="str">
        <f>HYPERLINK("http://slimages.macys.com/is/image/MCY/3384943 ")</f>
        <v xml:space="preserve">http://slimages.macys.com/is/image/MCY/3384943 </v>
      </c>
    </row>
    <row r="11" spans="1:13" ht="15.2" customHeight="1" x14ac:dyDescent="0.2">
      <c r="A11" s="6" t="s">
        <v>1891</v>
      </c>
      <c r="B11" s="7" t="s">
        <v>1892</v>
      </c>
      <c r="C11" s="8">
        <v>1</v>
      </c>
      <c r="D11" s="9">
        <v>21.55</v>
      </c>
      <c r="E11" s="9">
        <v>21.55</v>
      </c>
      <c r="F11" s="10">
        <v>52.5</v>
      </c>
      <c r="G11" s="9">
        <v>52.5</v>
      </c>
      <c r="H11" s="8" t="s">
        <v>4056</v>
      </c>
      <c r="I11" s="7" t="s">
        <v>3191</v>
      </c>
      <c r="J11" s="11" t="s">
        <v>3351</v>
      </c>
      <c r="K11" s="7" t="s">
        <v>3221</v>
      </c>
      <c r="L11" s="7" t="s">
        <v>3224</v>
      </c>
      <c r="M11" s="12" t="str">
        <f>HYPERLINK("http://slimages.macys.com/is/image/MCY/3626088 ")</f>
        <v xml:space="preserve">http://slimages.macys.com/is/image/MCY/3626088 </v>
      </c>
    </row>
    <row r="12" spans="1:13" ht="15.2" customHeight="1" x14ac:dyDescent="0.2">
      <c r="A12" s="6" t="s">
        <v>1585</v>
      </c>
      <c r="B12" s="7" t="s">
        <v>1586</v>
      </c>
      <c r="C12" s="8">
        <v>1</v>
      </c>
      <c r="D12" s="9">
        <v>21.55</v>
      </c>
      <c r="E12" s="9">
        <v>21.55</v>
      </c>
      <c r="F12" s="10">
        <v>52.5</v>
      </c>
      <c r="G12" s="9">
        <v>52.5</v>
      </c>
      <c r="H12" s="8" t="s">
        <v>4056</v>
      </c>
      <c r="I12" s="7" t="s">
        <v>3191</v>
      </c>
      <c r="J12" s="11" t="s">
        <v>3336</v>
      </c>
      <c r="K12" s="7" t="s">
        <v>3221</v>
      </c>
      <c r="L12" s="7" t="s">
        <v>3224</v>
      </c>
      <c r="M12" s="12" t="str">
        <f>HYPERLINK("http://slimages.macys.com/is/image/MCY/3626088 ")</f>
        <v xml:space="preserve">http://slimages.macys.com/is/image/MCY/3626088 </v>
      </c>
    </row>
    <row r="13" spans="1:13" ht="15.2" customHeight="1" x14ac:dyDescent="0.2">
      <c r="A13" s="6" t="s">
        <v>1705</v>
      </c>
      <c r="B13" s="7" t="s">
        <v>1706</v>
      </c>
      <c r="C13" s="8">
        <v>1</v>
      </c>
      <c r="D13" s="9">
        <v>20.85</v>
      </c>
      <c r="E13" s="9">
        <v>20.85</v>
      </c>
      <c r="F13" s="10">
        <v>69.5</v>
      </c>
      <c r="G13" s="9">
        <v>69.5</v>
      </c>
      <c r="H13" s="8">
        <v>60435383</v>
      </c>
      <c r="I13" s="7" t="s">
        <v>3219</v>
      </c>
      <c r="J13" s="11" t="s">
        <v>3202</v>
      </c>
      <c r="K13" s="7" t="s">
        <v>3187</v>
      </c>
      <c r="L13" s="7" t="s">
        <v>3188</v>
      </c>
      <c r="M13" s="12" t="str">
        <f>HYPERLINK("http://slimages.macys.com/is/image/MCY/3900381 ")</f>
        <v xml:space="preserve">http://slimages.macys.com/is/image/MCY/3900381 </v>
      </c>
    </row>
    <row r="14" spans="1:13" ht="15.2" customHeight="1" x14ac:dyDescent="0.2">
      <c r="A14" s="6" t="s">
        <v>2199</v>
      </c>
      <c r="B14" s="7" t="s">
        <v>2200</v>
      </c>
      <c r="C14" s="8">
        <v>1</v>
      </c>
      <c r="D14" s="9">
        <v>20.85</v>
      </c>
      <c r="E14" s="9">
        <v>20.85</v>
      </c>
      <c r="F14" s="10">
        <v>69.5</v>
      </c>
      <c r="G14" s="9">
        <v>69.5</v>
      </c>
      <c r="H14" s="8">
        <v>60435383</v>
      </c>
      <c r="I14" s="7" t="s">
        <v>3252</v>
      </c>
      <c r="J14" s="11" t="s">
        <v>3202</v>
      </c>
      <c r="K14" s="7" t="s">
        <v>3187</v>
      </c>
      <c r="L14" s="7" t="s">
        <v>3188</v>
      </c>
      <c r="M14" s="12" t="str">
        <f>HYPERLINK("http://slimages.macys.com/is/image/MCY/3900381 ")</f>
        <v xml:space="preserve">http://slimages.macys.com/is/image/MCY/3900381 </v>
      </c>
    </row>
    <row r="15" spans="1:13" ht="15.2" customHeight="1" x14ac:dyDescent="0.2">
      <c r="A15" s="6" t="s">
        <v>3651</v>
      </c>
      <c r="B15" s="7" t="s">
        <v>3652</v>
      </c>
      <c r="C15" s="8">
        <v>1</v>
      </c>
      <c r="D15" s="9">
        <v>20.52</v>
      </c>
      <c r="E15" s="9">
        <v>20.52</v>
      </c>
      <c r="F15" s="10">
        <v>59.5</v>
      </c>
      <c r="G15" s="9">
        <v>59.5</v>
      </c>
      <c r="H15" s="8" t="s">
        <v>3653</v>
      </c>
      <c r="I15" s="7" t="s">
        <v>3252</v>
      </c>
      <c r="J15" s="11" t="s">
        <v>3202</v>
      </c>
      <c r="K15" s="7" t="s">
        <v>3232</v>
      </c>
      <c r="L15" s="7" t="s">
        <v>3308</v>
      </c>
      <c r="M15" s="12" t="str">
        <f>HYPERLINK("http://slimages.macys.com/is/image/MCY/3918811 ")</f>
        <v xml:space="preserve">http://slimages.macys.com/is/image/MCY/3918811 </v>
      </c>
    </row>
    <row r="16" spans="1:13" ht="15.2" customHeight="1" x14ac:dyDescent="0.2">
      <c r="A16" s="6" t="s">
        <v>769</v>
      </c>
      <c r="B16" s="7" t="s">
        <v>770</v>
      </c>
      <c r="C16" s="8">
        <v>1</v>
      </c>
      <c r="D16" s="9">
        <v>20.420000000000002</v>
      </c>
      <c r="E16" s="9">
        <v>20.420000000000002</v>
      </c>
      <c r="F16" s="10">
        <v>59.5</v>
      </c>
      <c r="G16" s="9">
        <v>59.5</v>
      </c>
      <c r="H16" s="8" t="s">
        <v>2203</v>
      </c>
      <c r="I16" s="7" t="s">
        <v>3207</v>
      </c>
      <c r="J16" s="11" t="s">
        <v>3220</v>
      </c>
      <c r="K16" s="7" t="s">
        <v>3232</v>
      </c>
      <c r="L16" s="7" t="s">
        <v>3308</v>
      </c>
      <c r="M16" s="12" t="str">
        <f>HYPERLINK("http://slimages.macys.com/is/image/MCY/3773786 ")</f>
        <v xml:space="preserve">http://slimages.macys.com/is/image/MCY/3773786 </v>
      </c>
    </row>
    <row r="17" spans="1:13" ht="15.2" customHeight="1" x14ac:dyDescent="0.2">
      <c r="A17" s="6" t="s">
        <v>1589</v>
      </c>
      <c r="B17" s="7" t="s">
        <v>1590</v>
      </c>
      <c r="C17" s="8">
        <v>1</v>
      </c>
      <c r="D17" s="9">
        <v>20.079999999999998</v>
      </c>
      <c r="E17" s="9">
        <v>20.079999999999998</v>
      </c>
      <c r="F17" s="10">
        <v>46.25</v>
      </c>
      <c r="G17" s="9">
        <v>46.25</v>
      </c>
      <c r="H17" s="8" t="s">
        <v>2204</v>
      </c>
      <c r="I17" s="7" t="s">
        <v>3191</v>
      </c>
      <c r="J17" s="11" t="s">
        <v>3336</v>
      </c>
      <c r="K17" s="7" t="s">
        <v>3221</v>
      </c>
      <c r="L17" s="7" t="s">
        <v>3224</v>
      </c>
      <c r="M17" s="12" t="str">
        <f>HYPERLINK("http://slimages.macys.com/is/image/MCY/3724372 ")</f>
        <v xml:space="preserve">http://slimages.macys.com/is/image/MCY/3724372 </v>
      </c>
    </row>
    <row r="18" spans="1:13" ht="15.2" customHeight="1" x14ac:dyDescent="0.2">
      <c r="A18" s="6" t="s">
        <v>1587</v>
      </c>
      <c r="B18" s="7" t="s">
        <v>1588</v>
      </c>
      <c r="C18" s="8">
        <v>2</v>
      </c>
      <c r="D18" s="9">
        <v>20.079999999999998</v>
      </c>
      <c r="E18" s="9">
        <v>40.159999999999997</v>
      </c>
      <c r="F18" s="10">
        <v>46.25</v>
      </c>
      <c r="G18" s="9">
        <v>92.5</v>
      </c>
      <c r="H18" s="8" t="s">
        <v>2204</v>
      </c>
      <c r="I18" s="7" t="s">
        <v>3191</v>
      </c>
      <c r="J18" s="11" t="s">
        <v>3336</v>
      </c>
      <c r="K18" s="7" t="s">
        <v>3221</v>
      </c>
      <c r="L18" s="7" t="s">
        <v>3224</v>
      </c>
      <c r="M18" s="12" t="str">
        <f>HYPERLINK("http://slimages.macys.com/is/image/MCY/3724372 ")</f>
        <v xml:space="preserve">http://slimages.macys.com/is/image/MCY/3724372 </v>
      </c>
    </row>
    <row r="19" spans="1:13" ht="15.2" customHeight="1" x14ac:dyDescent="0.2">
      <c r="A19" s="6" t="s">
        <v>771</v>
      </c>
      <c r="B19" s="7" t="s">
        <v>772</v>
      </c>
      <c r="C19" s="8">
        <v>1</v>
      </c>
      <c r="D19" s="9">
        <v>19.98</v>
      </c>
      <c r="E19" s="9">
        <v>19.98</v>
      </c>
      <c r="F19" s="10">
        <v>54</v>
      </c>
      <c r="G19" s="9">
        <v>54</v>
      </c>
      <c r="H19" s="8" t="s">
        <v>773</v>
      </c>
      <c r="I19" s="7" t="s">
        <v>3656</v>
      </c>
      <c r="J19" s="11" t="s">
        <v>3202</v>
      </c>
      <c r="K19" s="7" t="s">
        <v>3768</v>
      </c>
      <c r="L19" s="7" t="s">
        <v>3769</v>
      </c>
      <c r="M19" s="12" t="str">
        <f>HYPERLINK("http://slimages.macys.com/is/image/MCY/3745072 ")</f>
        <v xml:space="preserve">http://slimages.macys.com/is/image/MCY/3745072 </v>
      </c>
    </row>
    <row r="20" spans="1:13" ht="15.2" customHeight="1" x14ac:dyDescent="0.2">
      <c r="A20" s="6" t="s">
        <v>774</v>
      </c>
      <c r="B20" s="7" t="s">
        <v>775</v>
      </c>
      <c r="C20" s="8">
        <v>1</v>
      </c>
      <c r="D20" s="9">
        <v>19.600000000000001</v>
      </c>
      <c r="E20" s="9">
        <v>19.600000000000001</v>
      </c>
      <c r="F20" s="10">
        <v>69</v>
      </c>
      <c r="G20" s="9">
        <v>69</v>
      </c>
      <c r="H20" s="8" t="s">
        <v>776</v>
      </c>
      <c r="I20" s="7"/>
      <c r="J20" s="11" t="s">
        <v>3202</v>
      </c>
      <c r="K20" s="7" t="s">
        <v>3222</v>
      </c>
      <c r="L20" s="7" t="s">
        <v>3223</v>
      </c>
      <c r="M20" s="12" t="str">
        <f>HYPERLINK("http://slimages.macys.com/is/image/MCY/3611438 ")</f>
        <v xml:space="preserve">http://slimages.macys.com/is/image/MCY/3611438 </v>
      </c>
    </row>
    <row r="21" spans="1:13" ht="15.2" customHeight="1" x14ac:dyDescent="0.2">
      <c r="A21" s="6" t="s">
        <v>3846</v>
      </c>
      <c r="B21" s="7" t="s">
        <v>3847</v>
      </c>
      <c r="C21" s="8">
        <v>2</v>
      </c>
      <c r="D21" s="9">
        <v>18.989999999999998</v>
      </c>
      <c r="E21" s="9">
        <v>37.979999999999997</v>
      </c>
      <c r="F21" s="10">
        <v>43.5</v>
      </c>
      <c r="G21" s="9">
        <v>87</v>
      </c>
      <c r="H21" s="8" t="s">
        <v>3848</v>
      </c>
      <c r="I21" s="7" t="s">
        <v>3257</v>
      </c>
      <c r="J21" s="11" t="s">
        <v>3271</v>
      </c>
      <c r="K21" s="7" t="s">
        <v>3221</v>
      </c>
      <c r="L21" s="7" t="s">
        <v>3224</v>
      </c>
      <c r="M21" s="12" t="str">
        <f t="shared" ref="M21:M26" si="0">HYPERLINK("http://slimages.macys.com/is/image/MCY/3721274 ")</f>
        <v xml:space="preserve">http://slimages.macys.com/is/image/MCY/3721274 </v>
      </c>
    </row>
    <row r="22" spans="1:13" ht="15.2" customHeight="1" x14ac:dyDescent="0.2">
      <c r="A22" s="6" t="s">
        <v>674</v>
      </c>
      <c r="B22" s="7" t="s">
        <v>675</v>
      </c>
      <c r="C22" s="8">
        <v>1</v>
      </c>
      <c r="D22" s="9">
        <v>18.989999999999998</v>
      </c>
      <c r="E22" s="9">
        <v>18.989999999999998</v>
      </c>
      <c r="F22" s="10">
        <v>43.5</v>
      </c>
      <c r="G22" s="9">
        <v>43.5</v>
      </c>
      <c r="H22" s="8" t="s">
        <v>3848</v>
      </c>
      <c r="I22" s="7" t="s">
        <v>3257</v>
      </c>
      <c r="J22" s="11" t="s">
        <v>3338</v>
      </c>
      <c r="K22" s="7" t="s">
        <v>3221</v>
      </c>
      <c r="L22" s="7" t="s">
        <v>3224</v>
      </c>
      <c r="M22" s="12" t="str">
        <f t="shared" si="0"/>
        <v xml:space="preserve">http://slimages.macys.com/is/image/MCY/3721274 </v>
      </c>
    </row>
    <row r="23" spans="1:13" ht="15.2" customHeight="1" x14ac:dyDescent="0.2">
      <c r="A23" s="6" t="s">
        <v>2534</v>
      </c>
      <c r="B23" s="7" t="s">
        <v>2535</v>
      </c>
      <c r="C23" s="8">
        <v>2</v>
      </c>
      <c r="D23" s="9">
        <v>18.989999999999998</v>
      </c>
      <c r="E23" s="9">
        <v>37.979999999999997</v>
      </c>
      <c r="F23" s="10">
        <v>43.5</v>
      </c>
      <c r="G23" s="9">
        <v>87</v>
      </c>
      <c r="H23" s="8" t="s">
        <v>3848</v>
      </c>
      <c r="I23" s="7" t="s">
        <v>3257</v>
      </c>
      <c r="J23" s="11" t="s">
        <v>3240</v>
      </c>
      <c r="K23" s="7" t="s">
        <v>3221</v>
      </c>
      <c r="L23" s="7" t="s">
        <v>3224</v>
      </c>
      <c r="M23" s="12" t="str">
        <f t="shared" si="0"/>
        <v xml:space="preserve">http://slimages.macys.com/is/image/MCY/3721274 </v>
      </c>
    </row>
    <row r="24" spans="1:13" ht="15.2" customHeight="1" x14ac:dyDescent="0.2">
      <c r="A24" s="6" t="s">
        <v>1982</v>
      </c>
      <c r="B24" s="7" t="s">
        <v>1983</v>
      </c>
      <c r="C24" s="8">
        <v>1</v>
      </c>
      <c r="D24" s="9">
        <v>18.989999999999998</v>
      </c>
      <c r="E24" s="9">
        <v>18.989999999999998</v>
      </c>
      <c r="F24" s="10">
        <v>43.5</v>
      </c>
      <c r="G24" s="9">
        <v>43.5</v>
      </c>
      <c r="H24" s="8" t="s">
        <v>3848</v>
      </c>
      <c r="I24" s="7" t="s">
        <v>3257</v>
      </c>
      <c r="J24" s="11" t="s">
        <v>3347</v>
      </c>
      <c r="K24" s="7" t="s">
        <v>3221</v>
      </c>
      <c r="L24" s="7" t="s">
        <v>3224</v>
      </c>
      <c r="M24" s="12" t="str">
        <f t="shared" si="0"/>
        <v xml:space="preserve">http://slimages.macys.com/is/image/MCY/3721274 </v>
      </c>
    </row>
    <row r="25" spans="1:13" ht="15.2" customHeight="1" x14ac:dyDescent="0.2">
      <c r="A25" s="6" t="s">
        <v>777</v>
      </c>
      <c r="B25" s="7" t="s">
        <v>778</v>
      </c>
      <c r="C25" s="8">
        <v>1</v>
      </c>
      <c r="D25" s="9">
        <v>18.989999999999998</v>
      </c>
      <c r="E25" s="9">
        <v>18.989999999999998</v>
      </c>
      <c r="F25" s="10">
        <v>43.5</v>
      </c>
      <c r="G25" s="9">
        <v>43.5</v>
      </c>
      <c r="H25" s="8" t="s">
        <v>3848</v>
      </c>
      <c r="I25" s="7" t="s">
        <v>3203</v>
      </c>
      <c r="J25" s="11" t="s">
        <v>3336</v>
      </c>
      <c r="K25" s="7" t="s">
        <v>3221</v>
      </c>
      <c r="L25" s="7" t="s">
        <v>3224</v>
      </c>
      <c r="M25" s="12" t="str">
        <f t="shared" si="0"/>
        <v xml:space="preserve">http://slimages.macys.com/is/image/MCY/3721274 </v>
      </c>
    </row>
    <row r="26" spans="1:13" ht="15.2" customHeight="1" x14ac:dyDescent="0.2">
      <c r="A26" s="6" t="s">
        <v>779</v>
      </c>
      <c r="B26" s="7" t="s">
        <v>780</v>
      </c>
      <c r="C26" s="8">
        <v>1</v>
      </c>
      <c r="D26" s="9">
        <v>18.989999999999998</v>
      </c>
      <c r="E26" s="9">
        <v>18.989999999999998</v>
      </c>
      <c r="F26" s="10">
        <v>43.5</v>
      </c>
      <c r="G26" s="9">
        <v>43.5</v>
      </c>
      <c r="H26" s="8" t="s">
        <v>781</v>
      </c>
      <c r="I26" s="7" t="s">
        <v>3203</v>
      </c>
      <c r="J26" s="11" t="s">
        <v>3340</v>
      </c>
      <c r="K26" s="7" t="s">
        <v>3221</v>
      </c>
      <c r="L26" s="7" t="s">
        <v>3224</v>
      </c>
      <c r="M26" s="12" t="str">
        <f t="shared" si="0"/>
        <v xml:space="preserve">http://slimages.macys.com/is/image/MCY/3721274 </v>
      </c>
    </row>
    <row r="27" spans="1:13" ht="15.2" customHeight="1" x14ac:dyDescent="0.2">
      <c r="A27" s="6" t="s">
        <v>1591</v>
      </c>
      <c r="B27" s="7" t="s">
        <v>1592</v>
      </c>
      <c r="C27" s="8">
        <v>1</v>
      </c>
      <c r="D27" s="9">
        <v>18.75</v>
      </c>
      <c r="E27" s="9">
        <v>18.75</v>
      </c>
      <c r="F27" s="10">
        <v>59</v>
      </c>
      <c r="G27" s="9">
        <v>59</v>
      </c>
      <c r="H27" s="8" t="s">
        <v>3245</v>
      </c>
      <c r="I27" s="7" t="s">
        <v>3286</v>
      </c>
      <c r="J27" s="11"/>
      <c r="K27" s="7" t="s">
        <v>3217</v>
      </c>
      <c r="L27" s="7" t="s">
        <v>3218</v>
      </c>
      <c r="M27" s="12" t="str">
        <f>HYPERLINK("http://slimages.macys.com/is/image/MCY/3937226 ")</f>
        <v xml:space="preserve">http://slimages.macys.com/is/image/MCY/3937226 </v>
      </c>
    </row>
    <row r="28" spans="1:13" ht="15.2" customHeight="1" x14ac:dyDescent="0.2">
      <c r="A28" s="6" t="s">
        <v>782</v>
      </c>
      <c r="B28" s="7" t="s">
        <v>783</v>
      </c>
      <c r="C28" s="8">
        <v>2</v>
      </c>
      <c r="D28" s="9">
        <v>18.739999999999998</v>
      </c>
      <c r="E28" s="9">
        <v>37.479999999999997</v>
      </c>
      <c r="F28" s="10">
        <v>43.5</v>
      </c>
      <c r="G28" s="9">
        <v>87</v>
      </c>
      <c r="H28" s="8" t="s">
        <v>3850</v>
      </c>
      <c r="I28" s="7" t="s">
        <v>3185</v>
      </c>
      <c r="J28" s="11" t="s">
        <v>3271</v>
      </c>
      <c r="K28" s="7" t="s">
        <v>3221</v>
      </c>
      <c r="L28" s="7" t="s">
        <v>3224</v>
      </c>
      <c r="M28" s="12" t="str">
        <f>HYPERLINK("http://slimages.macys.com/is/image/MCY/3678345 ")</f>
        <v xml:space="preserve">http://slimages.macys.com/is/image/MCY/3678345 </v>
      </c>
    </row>
    <row r="29" spans="1:13" ht="15.2" customHeight="1" x14ac:dyDescent="0.2">
      <c r="A29" s="6" t="s">
        <v>2211</v>
      </c>
      <c r="B29" s="7" t="s">
        <v>2212</v>
      </c>
      <c r="C29" s="8">
        <v>1</v>
      </c>
      <c r="D29" s="9">
        <v>18.23</v>
      </c>
      <c r="E29" s="9">
        <v>18.23</v>
      </c>
      <c r="F29" s="10">
        <v>49.99</v>
      </c>
      <c r="G29" s="9">
        <v>49.99</v>
      </c>
      <c r="H29" s="8" t="s">
        <v>3249</v>
      </c>
      <c r="I29" s="7" t="s">
        <v>3201</v>
      </c>
      <c r="J29" s="11" t="s">
        <v>3202</v>
      </c>
      <c r="K29" s="7" t="s">
        <v>3221</v>
      </c>
      <c r="L29" s="7" t="s">
        <v>3250</v>
      </c>
      <c r="M29" s="12" t="str">
        <f>HYPERLINK("http://slimages.macys.com/is/image/MCY/3954963 ")</f>
        <v xml:space="preserve">http://slimages.macys.com/is/image/MCY/3954963 </v>
      </c>
    </row>
    <row r="30" spans="1:13" ht="15.2" customHeight="1" x14ac:dyDescent="0.2">
      <c r="A30" s="6" t="s">
        <v>784</v>
      </c>
      <c r="B30" s="7" t="s">
        <v>785</v>
      </c>
      <c r="C30" s="8">
        <v>1</v>
      </c>
      <c r="D30" s="9">
        <v>18.07</v>
      </c>
      <c r="E30" s="9">
        <v>18.07</v>
      </c>
      <c r="F30" s="10">
        <v>49.5</v>
      </c>
      <c r="G30" s="9">
        <v>49.5</v>
      </c>
      <c r="H30" s="8" t="s">
        <v>2213</v>
      </c>
      <c r="I30" s="7" t="s">
        <v>3203</v>
      </c>
      <c r="J30" s="11" t="s">
        <v>3310</v>
      </c>
      <c r="K30" s="7" t="s">
        <v>3221</v>
      </c>
      <c r="L30" s="7" t="s">
        <v>3224</v>
      </c>
      <c r="M30" s="12" t="str">
        <f>HYPERLINK("http://slimages.macys.com/is/image/MCY/3913223 ")</f>
        <v xml:space="preserve">http://slimages.macys.com/is/image/MCY/3913223 </v>
      </c>
    </row>
    <row r="31" spans="1:13" ht="15.2" customHeight="1" x14ac:dyDescent="0.2">
      <c r="A31" s="6" t="s">
        <v>786</v>
      </c>
      <c r="B31" s="7" t="s">
        <v>787</v>
      </c>
      <c r="C31" s="8">
        <v>1</v>
      </c>
      <c r="D31" s="9">
        <v>18.059999999999999</v>
      </c>
      <c r="E31" s="9">
        <v>18.059999999999999</v>
      </c>
      <c r="F31" s="10">
        <v>44.99</v>
      </c>
      <c r="G31" s="9">
        <v>44.99</v>
      </c>
      <c r="H31" s="8" t="s">
        <v>788</v>
      </c>
      <c r="I31" s="7" t="s">
        <v>3681</v>
      </c>
      <c r="J31" s="11" t="s">
        <v>3270</v>
      </c>
      <c r="K31" s="7" t="s">
        <v>3221</v>
      </c>
      <c r="L31" s="7" t="s">
        <v>3224</v>
      </c>
      <c r="M31" s="12" t="str">
        <f>HYPERLINK("http://slimages.macys.com/is/image/MCY/3264481 ")</f>
        <v xml:space="preserve">http://slimages.macys.com/is/image/MCY/3264481 </v>
      </c>
    </row>
    <row r="32" spans="1:13" ht="15.2" customHeight="1" x14ac:dyDescent="0.2">
      <c r="A32" s="6" t="s">
        <v>789</v>
      </c>
      <c r="B32" s="7" t="s">
        <v>790</v>
      </c>
      <c r="C32" s="8">
        <v>1</v>
      </c>
      <c r="D32" s="9">
        <v>17.82</v>
      </c>
      <c r="E32" s="9">
        <v>17.82</v>
      </c>
      <c r="F32" s="10">
        <v>49.5</v>
      </c>
      <c r="G32" s="9">
        <v>49.5</v>
      </c>
      <c r="H32" s="8" t="s">
        <v>791</v>
      </c>
      <c r="I32" s="7" t="s">
        <v>3286</v>
      </c>
      <c r="J32" s="11" t="s">
        <v>3186</v>
      </c>
      <c r="K32" s="7" t="s">
        <v>3208</v>
      </c>
      <c r="L32" s="7" t="s">
        <v>3209</v>
      </c>
      <c r="M32" s="12" t="str">
        <f>HYPERLINK("http://slimages.macys.com/is/image/MCY/3565688 ")</f>
        <v xml:space="preserve">http://slimages.macys.com/is/image/MCY/3565688 </v>
      </c>
    </row>
    <row r="33" spans="1:13" ht="15.2" customHeight="1" x14ac:dyDescent="0.2">
      <c r="A33" s="6" t="s">
        <v>3264</v>
      </c>
      <c r="B33" s="7" t="s">
        <v>3265</v>
      </c>
      <c r="C33" s="8">
        <v>1</v>
      </c>
      <c r="D33" s="9">
        <v>17.52</v>
      </c>
      <c r="E33" s="9">
        <v>17.52</v>
      </c>
      <c r="F33" s="10">
        <v>49.5</v>
      </c>
      <c r="G33" s="9">
        <v>49.5</v>
      </c>
      <c r="H33" s="8" t="s">
        <v>3266</v>
      </c>
      <c r="I33" s="7" t="s">
        <v>3267</v>
      </c>
      <c r="J33" s="11" t="s">
        <v>3268</v>
      </c>
      <c r="K33" s="7" t="s">
        <v>3221</v>
      </c>
      <c r="L33" s="7" t="s">
        <v>3269</v>
      </c>
      <c r="M33" s="12" t="str">
        <f>HYPERLINK("http://slimages.macys.com/is/image/MCY/3367561 ")</f>
        <v xml:space="preserve">http://slimages.macys.com/is/image/MCY/3367561 </v>
      </c>
    </row>
    <row r="34" spans="1:13" ht="15.2" customHeight="1" x14ac:dyDescent="0.2">
      <c r="A34" s="6" t="s">
        <v>792</v>
      </c>
      <c r="B34" s="7" t="s">
        <v>793</v>
      </c>
      <c r="C34" s="8">
        <v>1</v>
      </c>
      <c r="D34" s="9">
        <v>17.25</v>
      </c>
      <c r="E34" s="9">
        <v>17.25</v>
      </c>
      <c r="F34" s="10">
        <v>49</v>
      </c>
      <c r="G34" s="9">
        <v>49</v>
      </c>
      <c r="H34" s="8" t="s">
        <v>3274</v>
      </c>
      <c r="I34" s="7" t="s">
        <v>3246</v>
      </c>
      <c r="J34" s="11" t="s">
        <v>3242</v>
      </c>
      <c r="K34" s="7" t="s">
        <v>3217</v>
      </c>
      <c r="L34" s="7" t="s">
        <v>3218</v>
      </c>
      <c r="M34" s="12" t="str">
        <f>HYPERLINK("http://slimages.macys.com/is/image/MCY/3820526 ")</f>
        <v xml:space="preserve">http://slimages.macys.com/is/image/MCY/3820526 </v>
      </c>
    </row>
    <row r="35" spans="1:13" ht="15.2" customHeight="1" x14ac:dyDescent="0.2">
      <c r="A35" s="6" t="s">
        <v>1790</v>
      </c>
      <c r="B35" s="7" t="s">
        <v>1791</v>
      </c>
      <c r="C35" s="8">
        <v>1</v>
      </c>
      <c r="D35" s="9">
        <v>16.239999999999998</v>
      </c>
      <c r="E35" s="9">
        <v>16.239999999999998</v>
      </c>
      <c r="F35" s="10">
        <v>44.5</v>
      </c>
      <c r="G35" s="9">
        <v>44.5</v>
      </c>
      <c r="H35" s="8" t="s">
        <v>2222</v>
      </c>
      <c r="I35" s="7" t="s">
        <v>3185</v>
      </c>
      <c r="J35" s="11" t="s">
        <v>3202</v>
      </c>
      <c r="K35" s="7" t="s">
        <v>3232</v>
      </c>
      <c r="L35" s="7" t="s">
        <v>3308</v>
      </c>
      <c r="M35" s="12" t="str">
        <f>HYPERLINK("http://slimages.macys.com/is/image/MCY/3954897 ")</f>
        <v xml:space="preserve">http://slimages.macys.com/is/image/MCY/3954897 </v>
      </c>
    </row>
    <row r="36" spans="1:13" ht="15.2" customHeight="1" x14ac:dyDescent="0.2">
      <c r="A36" s="6" t="s">
        <v>698</v>
      </c>
      <c r="B36" s="7" t="s">
        <v>699</v>
      </c>
      <c r="C36" s="8">
        <v>1</v>
      </c>
      <c r="D36" s="9">
        <v>16.239999999999998</v>
      </c>
      <c r="E36" s="9">
        <v>16.239999999999998</v>
      </c>
      <c r="F36" s="10">
        <v>44.5</v>
      </c>
      <c r="G36" s="9">
        <v>44.5</v>
      </c>
      <c r="H36" s="8" t="s">
        <v>4235</v>
      </c>
      <c r="I36" s="7" t="s">
        <v>3252</v>
      </c>
      <c r="J36" s="11" t="s">
        <v>3186</v>
      </c>
      <c r="K36" s="7" t="s">
        <v>3221</v>
      </c>
      <c r="L36" s="7" t="s">
        <v>3224</v>
      </c>
      <c r="M36" s="12" t="str">
        <f>HYPERLINK("http://slimages.macys.com/is/image/MCY/3802077 ")</f>
        <v xml:space="preserve">http://slimages.macys.com/is/image/MCY/3802077 </v>
      </c>
    </row>
    <row r="37" spans="1:13" ht="15.2" customHeight="1" x14ac:dyDescent="0.2">
      <c r="A37" s="6" t="s">
        <v>794</v>
      </c>
      <c r="B37" s="7" t="s">
        <v>697</v>
      </c>
      <c r="C37" s="8">
        <v>1</v>
      </c>
      <c r="D37" s="9">
        <v>16</v>
      </c>
      <c r="E37" s="9">
        <v>16</v>
      </c>
      <c r="F37" s="10">
        <v>49</v>
      </c>
      <c r="G37" s="9">
        <v>49</v>
      </c>
      <c r="H37" s="8" t="s">
        <v>795</v>
      </c>
      <c r="I37" s="7" t="s">
        <v>3185</v>
      </c>
      <c r="J37" s="11" t="s">
        <v>3186</v>
      </c>
      <c r="K37" s="7" t="s">
        <v>3295</v>
      </c>
      <c r="L37" s="7" t="s">
        <v>3296</v>
      </c>
      <c r="M37" s="12" t="str">
        <f>HYPERLINK("http://slimages.macys.com/is/image/MCY/3667375 ")</f>
        <v xml:space="preserve">http://slimages.macys.com/is/image/MCY/3667375 </v>
      </c>
    </row>
    <row r="38" spans="1:13" ht="15.2" customHeight="1" x14ac:dyDescent="0.2">
      <c r="A38" s="6" t="s">
        <v>796</v>
      </c>
      <c r="B38" s="7" t="s">
        <v>797</v>
      </c>
      <c r="C38" s="8">
        <v>1</v>
      </c>
      <c r="D38" s="9">
        <v>16</v>
      </c>
      <c r="E38" s="9">
        <v>16</v>
      </c>
      <c r="F38" s="10">
        <v>49</v>
      </c>
      <c r="G38" s="9">
        <v>49</v>
      </c>
      <c r="H38" s="8" t="s">
        <v>798</v>
      </c>
      <c r="I38" s="7" t="s">
        <v>3252</v>
      </c>
      <c r="J38" s="11" t="s">
        <v>3220</v>
      </c>
      <c r="K38" s="7" t="s">
        <v>3295</v>
      </c>
      <c r="L38" s="7" t="s">
        <v>3296</v>
      </c>
      <c r="M38" s="12" t="str">
        <f>HYPERLINK("http://slimages.macys.com/is/image/MCY/3334637 ")</f>
        <v xml:space="preserve">http://slimages.macys.com/is/image/MCY/3334637 </v>
      </c>
    </row>
    <row r="39" spans="1:13" ht="15.2" customHeight="1" x14ac:dyDescent="0.2">
      <c r="A39" s="6" t="s">
        <v>799</v>
      </c>
      <c r="B39" s="7" t="s">
        <v>800</v>
      </c>
      <c r="C39" s="8">
        <v>1</v>
      </c>
      <c r="D39" s="9">
        <v>16</v>
      </c>
      <c r="E39" s="9">
        <v>16</v>
      </c>
      <c r="F39" s="10">
        <v>49</v>
      </c>
      <c r="G39" s="9">
        <v>49</v>
      </c>
      <c r="H39" s="8" t="s">
        <v>795</v>
      </c>
      <c r="I39" s="7" t="s">
        <v>3185</v>
      </c>
      <c r="J39" s="11" t="s">
        <v>3202</v>
      </c>
      <c r="K39" s="7" t="s">
        <v>3295</v>
      </c>
      <c r="L39" s="7" t="s">
        <v>3296</v>
      </c>
      <c r="M39" s="12" t="str">
        <f>HYPERLINK("http://slimages.macys.com/is/image/MCY/3667375 ")</f>
        <v xml:space="preserve">http://slimages.macys.com/is/image/MCY/3667375 </v>
      </c>
    </row>
    <row r="40" spans="1:13" ht="15.2" customHeight="1" x14ac:dyDescent="0.2">
      <c r="A40" s="6" t="s">
        <v>801</v>
      </c>
      <c r="B40" s="7" t="s">
        <v>802</v>
      </c>
      <c r="C40" s="8">
        <v>1</v>
      </c>
      <c r="D40" s="9">
        <v>15.9</v>
      </c>
      <c r="E40" s="9">
        <v>15.9</v>
      </c>
      <c r="F40" s="10">
        <v>44.5</v>
      </c>
      <c r="G40" s="9">
        <v>44.5</v>
      </c>
      <c r="H40" s="8" t="s">
        <v>3285</v>
      </c>
      <c r="I40" s="7" t="s">
        <v>3839</v>
      </c>
      <c r="J40" s="11" t="s">
        <v>3202</v>
      </c>
      <c r="K40" s="7" t="s">
        <v>3221</v>
      </c>
      <c r="L40" s="7" t="s">
        <v>3224</v>
      </c>
      <c r="M40" s="12" t="str">
        <f>HYPERLINK("http://slimages.macys.com/is/image/MCY/3634312 ")</f>
        <v xml:space="preserve">http://slimages.macys.com/is/image/MCY/3634312 </v>
      </c>
    </row>
    <row r="41" spans="1:13" ht="15.2" customHeight="1" x14ac:dyDescent="0.2">
      <c r="A41" s="6" t="s">
        <v>803</v>
      </c>
      <c r="B41" s="7" t="s">
        <v>804</v>
      </c>
      <c r="C41" s="8">
        <v>1</v>
      </c>
      <c r="D41" s="9">
        <v>15.75</v>
      </c>
      <c r="E41" s="9">
        <v>15.75</v>
      </c>
      <c r="F41" s="10">
        <v>49</v>
      </c>
      <c r="G41" s="9">
        <v>49</v>
      </c>
      <c r="H41" s="8" t="s">
        <v>805</v>
      </c>
      <c r="I41" s="7" t="s">
        <v>3216</v>
      </c>
      <c r="J41" s="11" t="s">
        <v>3186</v>
      </c>
      <c r="K41" s="7" t="s">
        <v>3217</v>
      </c>
      <c r="L41" s="7" t="s">
        <v>3218</v>
      </c>
      <c r="M41" s="12" t="str">
        <f>HYPERLINK("http://slimages.macys.com/is/image/MCY/3600584 ")</f>
        <v xml:space="preserve">http://slimages.macys.com/is/image/MCY/3600584 </v>
      </c>
    </row>
    <row r="42" spans="1:13" ht="15.2" customHeight="1" x14ac:dyDescent="0.2">
      <c r="A42" s="6" t="s">
        <v>4243</v>
      </c>
      <c r="B42" s="7" t="s">
        <v>4244</v>
      </c>
      <c r="C42" s="8">
        <v>1</v>
      </c>
      <c r="D42" s="9">
        <v>14.5</v>
      </c>
      <c r="E42" s="9">
        <v>14.5</v>
      </c>
      <c r="F42" s="10">
        <v>45</v>
      </c>
      <c r="G42" s="9">
        <v>45</v>
      </c>
      <c r="H42" s="8" t="s">
        <v>4067</v>
      </c>
      <c r="I42" s="7" t="s">
        <v>3207</v>
      </c>
      <c r="J42" s="11" t="s">
        <v>3202</v>
      </c>
      <c r="K42" s="7" t="s">
        <v>3295</v>
      </c>
      <c r="L42" s="7" t="s">
        <v>3296</v>
      </c>
      <c r="M42" s="12" t="str">
        <f>HYPERLINK("http://slimages.macys.com/is/image/MCY/3841161 ")</f>
        <v xml:space="preserve">http://slimages.macys.com/is/image/MCY/3841161 </v>
      </c>
    </row>
    <row r="43" spans="1:13" ht="15.2" customHeight="1" x14ac:dyDescent="0.2">
      <c r="A43" s="6" t="s">
        <v>806</v>
      </c>
      <c r="B43" s="7" t="s">
        <v>807</v>
      </c>
      <c r="C43" s="8">
        <v>1</v>
      </c>
      <c r="D43" s="9">
        <v>14.49</v>
      </c>
      <c r="E43" s="9">
        <v>14.49</v>
      </c>
      <c r="F43" s="10">
        <v>39.5</v>
      </c>
      <c r="G43" s="9">
        <v>39.5</v>
      </c>
      <c r="H43" s="8" t="s">
        <v>3315</v>
      </c>
      <c r="I43" s="7" t="s">
        <v>3207</v>
      </c>
      <c r="J43" s="11" t="s">
        <v>3231</v>
      </c>
      <c r="K43" s="7" t="s">
        <v>3232</v>
      </c>
      <c r="L43" s="7" t="s">
        <v>3233</v>
      </c>
      <c r="M43" s="12" t="str">
        <f>HYPERLINK("http://slimages.macys.com/is/image/MCY/3711087 ")</f>
        <v xml:space="preserve">http://slimages.macys.com/is/image/MCY/3711087 </v>
      </c>
    </row>
    <row r="44" spans="1:13" ht="15.2" customHeight="1" x14ac:dyDescent="0.2">
      <c r="A44" s="6" t="s">
        <v>676</v>
      </c>
      <c r="B44" s="7" t="s">
        <v>677</v>
      </c>
      <c r="C44" s="8">
        <v>1</v>
      </c>
      <c r="D44" s="9">
        <v>14.49</v>
      </c>
      <c r="E44" s="9">
        <v>14.49</v>
      </c>
      <c r="F44" s="10">
        <v>39.5</v>
      </c>
      <c r="G44" s="9">
        <v>39.5</v>
      </c>
      <c r="H44" s="8" t="s">
        <v>3315</v>
      </c>
      <c r="I44" s="7" t="s">
        <v>3207</v>
      </c>
      <c r="J44" s="11" t="s">
        <v>3236</v>
      </c>
      <c r="K44" s="7" t="s">
        <v>3232</v>
      </c>
      <c r="L44" s="7" t="s">
        <v>3233</v>
      </c>
      <c r="M44" s="12" t="str">
        <f>HYPERLINK("http://slimages.macys.com/is/image/MCY/3711087 ")</f>
        <v xml:space="preserve">http://slimages.macys.com/is/image/MCY/3711087 </v>
      </c>
    </row>
    <row r="45" spans="1:13" ht="15.2" customHeight="1" x14ac:dyDescent="0.2">
      <c r="A45" s="6" t="s">
        <v>2377</v>
      </c>
      <c r="B45" s="7" t="s">
        <v>2378</v>
      </c>
      <c r="C45" s="8">
        <v>1</v>
      </c>
      <c r="D45" s="9">
        <v>14.49</v>
      </c>
      <c r="E45" s="9">
        <v>14.49</v>
      </c>
      <c r="F45" s="10">
        <v>39.5</v>
      </c>
      <c r="G45" s="9">
        <v>39.5</v>
      </c>
      <c r="H45" s="8" t="s">
        <v>3315</v>
      </c>
      <c r="I45" s="7" t="s">
        <v>3207</v>
      </c>
      <c r="J45" s="11" t="s">
        <v>3242</v>
      </c>
      <c r="K45" s="7" t="s">
        <v>3232</v>
      </c>
      <c r="L45" s="7" t="s">
        <v>3233</v>
      </c>
      <c r="M45" s="12" t="str">
        <f>HYPERLINK("http://slimages.macys.com/is/image/MCY/3711087 ")</f>
        <v xml:space="preserve">http://slimages.macys.com/is/image/MCY/3711087 </v>
      </c>
    </row>
    <row r="46" spans="1:13" ht="15.2" customHeight="1" x14ac:dyDescent="0.2">
      <c r="A46" s="6" t="s">
        <v>1595</v>
      </c>
      <c r="B46" s="7" t="s">
        <v>1596</v>
      </c>
      <c r="C46" s="8">
        <v>1</v>
      </c>
      <c r="D46" s="9">
        <v>14.41</v>
      </c>
      <c r="E46" s="9">
        <v>14.41</v>
      </c>
      <c r="F46" s="10">
        <v>39.5</v>
      </c>
      <c r="G46" s="9">
        <v>39.5</v>
      </c>
      <c r="H46" s="8" t="s">
        <v>1597</v>
      </c>
      <c r="I46" s="7" t="s">
        <v>3185</v>
      </c>
      <c r="J46" s="11" t="s">
        <v>3231</v>
      </c>
      <c r="K46" s="7" t="s">
        <v>3221</v>
      </c>
      <c r="L46" s="7" t="s">
        <v>3239</v>
      </c>
      <c r="M46" s="12" t="str">
        <f>HYPERLINK("http://slimages.macys.com/is/image/MCY/3913256 ")</f>
        <v xml:space="preserve">http://slimages.macys.com/is/image/MCY/3913256 </v>
      </c>
    </row>
    <row r="47" spans="1:13" ht="15.2" customHeight="1" x14ac:dyDescent="0.2">
      <c r="A47" s="6" t="s">
        <v>808</v>
      </c>
      <c r="B47" s="7" t="s">
        <v>809</v>
      </c>
      <c r="C47" s="8">
        <v>1</v>
      </c>
      <c r="D47" s="9">
        <v>14</v>
      </c>
      <c r="E47" s="9">
        <v>14</v>
      </c>
      <c r="F47" s="10">
        <v>44</v>
      </c>
      <c r="G47" s="9">
        <v>44</v>
      </c>
      <c r="H47" s="8" t="s">
        <v>3319</v>
      </c>
      <c r="I47" s="7" t="s">
        <v>3288</v>
      </c>
      <c r="J47" s="11" t="s">
        <v>3231</v>
      </c>
      <c r="K47" s="7" t="s">
        <v>3217</v>
      </c>
      <c r="L47" s="7" t="s">
        <v>3218</v>
      </c>
      <c r="M47" s="12" t="str">
        <f>HYPERLINK("http://slimages.macys.com/is/image/MCY/3667831 ")</f>
        <v xml:space="preserve">http://slimages.macys.com/is/image/MCY/3667831 </v>
      </c>
    </row>
    <row r="48" spans="1:13" ht="15.2" customHeight="1" x14ac:dyDescent="0.2">
      <c r="A48" s="6" t="s">
        <v>810</v>
      </c>
      <c r="B48" s="7" t="s">
        <v>811</v>
      </c>
      <c r="C48" s="8">
        <v>1</v>
      </c>
      <c r="D48" s="9">
        <v>13.86</v>
      </c>
      <c r="E48" s="9">
        <v>13.86</v>
      </c>
      <c r="F48" s="10">
        <v>32.99</v>
      </c>
      <c r="G48" s="9">
        <v>32.99</v>
      </c>
      <c r="H48" s="8" t="s">
        <v>3320</v>
      </c>
      <c r="I48" s="7" t="s">
        <v>3216</v>
      </c>
      <c r="J48" s="11" t="s">
        <v>3310</v>
      </c>
      <c r="K48" s="7" t="s">
        <v>3300</v>
      </c>
      <c r="L48" s="7" t="s">
        <v>3301</v>
      </c>
      <c r="M48" s="12" t="str">
        <f>HYPERLINK("http://slimages.macys.com/is/image/MCY/3857679 ")</f>
        <v xml:space="preserve">http://slimages.macys.com/is/image/MCY/3857679 </v>
      </c>
    </row>
    <row r="49" spans="1:13" ht="15.2" customHeight="1" x14ac:dyDescent="0.2">
      <c r="A49" s="6" t="s">
        <v>2618</v>
      </c>
      <c r="B49" s="7" t="s">
        <v>2619</v>
      </c>
      <c r="C49" s="8">
        <v>1</v>
      </c>
      <c r="D49" s="9">
        <v>13.5</v>
      </c>
      <c r="E49" s="9">
        <v>13.5</v>
      </c>
      <c r="F49" s="10">
        <v>29.99</v>
      </c>
      <c r="G49" s="9">
        <v>29.99</v>
      </c>
      <c r="H49" s="8" t="s">
        <v>3678</v>
      </c>
      <c r="I49" s="7" t="s">
        <v>3185</v>
      </c>
      <c r="J49" s="11" t="s">
        <v>3340</v>
      </c>
      <c r="K49" s="7" t="s">
        <v>3326</v>
      </c>
      <c r="L49" s="7" t="s">
        <v>3282</v>
      </c>
      <c r="M49" s="12" t="str">
        <f>HYPERLINK("http://slimages.macys.com/is/image/MCY/3866347 ")</f>
        <v xml:space="preserve">http://slimages.macys.com/is/image/MCY/3866347 </v>
      </c>
    </row>
    <row r="50" spans="1:13" ht="15.2" customHeight="1" x14ac:dyDescent="0.2">
      <c r="A50" s="6" t="s">
        <v>812</v>
      </c>
      <c r="B50" s="7" t="s">
        <v>813</v>
      </c>
      <c r="C50" s="8">
        <v>1</v>
      </c>
      <c r="D50" s="9">
        <v>13.5</v>
      </c>
      <c r="E50" s="9">
        <v>13.5</v>
      </c>
      <c r="F50" s="10">
        <v>39</v>
      </c>
      <c r="G50" s="9">
        <v>39</v>
      </c>
      <c r="H50" s="8" t="s">
        <v>4072</v>
      </c>
      <c r="I50" s="7"/>
      <c r="J50" s="11" t="s">
        <v>3236</v>
      </c>
      <c r="K50" s="7" t="s">
        <v>3295</v>
      </c>
      <c r="L50" s="7" t="s">
        <v>3296</v>
      </c>
      <c r="M50" s="12" t="str">
        <f>HYPERLINK("http://slimages.macys.com/is/image/MCY/3748064 ")</f>
        <v xml:space="preserve">http://slimages.macys.com/is/image/MCY/3748064 </v>
      </c>
    </row>
    <row r="51" spans="1:13" ht="15.2" customHeight="1" x14ac:dyDescent="0.2">
      <c r="A51" s="6" t="s">
        <v>814</v>
      </c>
      <c r="B51" s="7" t="s">
        <v>815</v>
      </c>
      <c r="C51" s="8">
        <v>1</v>
      </c>
      <c r="D51" s="9">
        <v>13.5</v>
      </c>
      <c r="E51" s="9">
        <v>13.5</v>
      </c>
      <c r="F51" s="10">
        <v>29.99</v>
      </c>
      <c r="G51" s="9">
        <v>29.99</v>
      </c>
      <c r="H51" s="8" t="s">
        <v>816</v>
      </c>
      <c r="I51" s="7" t="s">
        <v>3234</v>
      </c>
      <c r="J51" s="11" t="s">
        <v>3231</v>
      </c>
      <c r="K51" s="7" t="s">
        <v>3326</v>
      </c>
      <c r="L51" s="7" t="s">
        <v>3327</v>
      </c>
      <c r="M51" s="12" t="str">
        <f>HYPERLINK("http://slimages.macys.com/is/image/MCY/3660273 ")</f>
        <v xml:space="preserve">http://slimages.macys.com/is/image/MCY/3660273 </v>
      </c>
    </row>
    <row r="52" spans="1:13" ht="15.2" customHeight="1" x14ac:dyDescent="0.2">
      <c r="A52" s="6" t="s">
        <v>1711</v>
      </c>
      <c r="B52" s="7" t="s">
        <v>1712</v>
      </c>
      <c r="C52" s="8">
        <v>1</v>
      </c>
      <c r="D52" s="9">
        <v>13.23</v>
      </c>
      <c r="E52" s="9">
        <v>13.23</v>
      </c>
      <c r="F52" s="10">
        <v>39.5</v>
      </c>
      <c r="G52" s="9">
        <v>39.5</v>
      </c>
      <c r="H52" s="8" t="s">
        <v>3325</v>
      </c>
      <c r="I52" s="7" t="s">
        <v>3185</v>
      </c>
      <c r="J52" s="11" t="s">
        <v>3202</v>
      </c>
      <c r="K52" s="7" t="s">
        <v>3232</v>
      </c>
      <c r="L52" s="7" t="s">
        <v>3306</v>
      </c>
      <c r="M52" s="12" t="str">
        <f>HYPERLINK("http://slimages.macys.com/is/image/MCY/3808484 ")</f>
        <v xml:space="preserve">http://slimages.macys.com/is/image/MCY/3808484 </v>
      </c>
    </row>
    <row r="53" spans="1:13" ht="15.2" customHeight="1" x14ac:dyDescent="0.2">
      <c r="A53" s="6" t="s">
        <v>1598</v>
      </c>
      <c r="B53" s="7" t="s">
        <v>1599</v>
      </c>
      <c r="C53" s="8">
        <v>1</v>
      </c>
      <c r="D53" s="9">
        <v>13.23</v>
      </c>
      <c r="E53" s="9">
        <v>13.23</v>
      </c>
      <c r="F53" s="10">
        <v>39.5</v>
      </c>
      <c r="G53" s="9">
        <v>39.5</v>
      </c>
      <c r="H53" s="8" t="s">
        <v>3325</v>
      </c>
      <c r="I53" s="7" t="s">
        <v>3207</v>
      </c>
      <c r="J53" s="11" t="s">
        <v>3202</v>
      </c>
      <c r="K53" s="7" t="s">
        <v>3232</v>
      </c>
      <c r="L53" s="7" t="s">
        <v>3306</v>
      </c>
      <c r="M53" s="12" t="str">
        <f>HYPERLINK("http://slimages.macys.com/is/image/MCY/3808484 ")</f>
        <v xml:space="preserve">http://slimages.macys.com/is/image/MCY/3808484 </v>
      </c>
    </row>
    <row r="54" spans="1:13" ht="15.2" customHeight="1" x14ac:dyDescent="0.2">
      <c r="A54" s="6" t="s">
        <v>3683</v>
      </c>
      <c r="B54" s="7" t="s">
        <v>3684</v>
      </c>
      <c r="C54" s="8">
        <v>3</v>
      </c>
      <c r="D54" s="9">
        <v>13</v>
      </c>
      <c r="E54" s="9">
        <v>39</v>
      </c>
      <c r="F54" s="10">
        <v>29.99</v>
      </c>
      <c r="G54" s="9">
        <v>89.97</v>
      </c>
      <c r="H54" s="8" t="s">
        <v>3685</v>
      </c>
      <c r="I54" s="7" t="s">
        <v>3210</v>
      </c>
      <c r="J54" s="11" t="s">
        <v>3271</v>
      </c>
      <c r="K54" s="7" t="s">
        <v>3326</v>
      </c>
      <c r="L54" s="7" t="s">
        <v>3682</v>
      </c>
      <c r="M54" s="12" t="str">
        <f>HYPERLINK("http://slimages.macys.com/is/image/MCY/3955888 ")</f>
        <v xml:space="preserve">http://slimages.macys.com/is/image/MCY/3955888 </v>
      </c>
    </row>
    <row r="55" spans="1:13" ht="15.2" customHeight="1" x14ac:dyDescent="0.2">
      <c r="A55" s="6" t="s">
        <v>817</v>
      </c>
      <c r="B55" s="7" t="s">
        <v>818</v>
      </c>
      <c r="C55" s="8">
        <v>1</v>
      </c>
      <c r="D55" s="9">
        <v>13</v>
      </c>
      <c r="E55" s="9">
        <v>13</v>
      </c>
      <c r="F55" s="10">
        <v>29.99</v>
      </c>
      <c r="G55" s="9">
        <v>29.99</v>
      </c>
      <c r="H55" s="8" t="s">
        <v>3873</v>
      </c>
      <c r="I55" s="7" t="s">
        <v>3185</v>
      </c>
      <c r="J55" s="11" t="s">
        <v>3204</v>
      </c>
      <c r="K55" s="7" t="s">
        <v>3326</v>
      </c>
      <c r="L55" s="7" t="s">
        <v>3282</v>
      </c>
      <c r="M55" s="12" t="str">
        <f>HYPERLINK("http://slimages.macys.com/is/image/MCY/3874062 ")</f>
        <v xml:space="preserve">http://slimages.macys.com/is/image/MCY/3874062 </v>
      </c>
    </row>
    <row r="56" spans="1:13" ht="15.2" customHeight="1" x14ac:dyDescent="0.2">
      <c r="A56" s="6" t="s">
        <v>819</v>
      </c>
      <c r="B56" s="7" t="s">
        <v>820</v>
      </c>
      <c r="C56" s="8">
        <v>1</v>
      </c>
      <c r="D56" s="9">
        <v>13</v>
      </c>
      <c r="E56" s="9">
        <v>13</v>
      </c>
      <c r="F56" s="10">
        <v>29.99</v>
      </c>
      <c r="G56" s="9">
        <v>29.99</v>
      </c>
      <c r="H56" s="8" t="s">
        <v>3685</v>
      </c>
      <c r="I56" s="7" t="s">
        <v>3210</v>
      </c>
      <c r="J56" s="11" t="s">
        <v>3340</v>
      </c>
      <c r="K56" s="7" t="s">
        <v>3326</v>
      </c>
      <c r="L56" s="7" t="s">
        <v>3682</v>
      </c>
      <c r="M56" s="12" t="str">
        <f>HYPERLINK("http://slimages.macys.com/is/image/MCY/3955888 ")</f>
        <v xml:space="preserve">http://slimages.macys.com/is/image/MCY/3955888 </v>
      </c>
    </row>
    <row r="57" spans="1:13" ht="15.2" customHeight="1" x14ac:dyDescent="0.2">
      <c r="A57" s="6" t="s">
        <v>821</v>
      </c>
      <c r="B57" s="7" t="s">
        <v>822</v>
      </c>
      <c r="C57" s="8">
        <v>1</v>
      </c>
      <c r="D57" s="9">
        <v>13</v>
      </c>
      <c r="E57" s="9">
        <v>13</v>
      </c>
      <c r="F57" s="10">
        <v>29.99</v>
      </c>
      <c r="G57" s="9">
        <v>29.99</v>
      </c>
      <c r="H57" s="8" t="s">
        <v>2624</v>
      </c>
      <c r="I57" s="7" t="s">
        <v>3210</v>
      </c>
      <c r="J57" s="11" t="s">
        <v>3204</v>
      </c>
      <c r="K57" s="7" t="s">
        <v>3326</v>
      </c>
      <c r="L57" s="7" t="s">
        <v>3682</v>
      </c>
      <c r="M57" s="12" t="str">
        <f>HYPERLINK("http://slimages.macys.com/is/image/MCY/3955897 ")</f>
        <v xml:space="preserve">http://slimages.macys.com/is/image/MCY/3955897 </v>
      </c>
    </row>
    <row r="58" spans="1:13" ht="15.2" customHeight="1" x14ac:dyDescent="0.2">
      <c r="A58" s="6" t="s">
        <v>3686</v>
      </c>
      <c r="B58" s="7" t="s">
        <v>3687</v>
      </c>
      <c r="C58" s="8">
        <v>1</v>
      </c>
      <c r="D58" s="9">
        <v>13</v>
      </c>
      <c r="E58" s="9">
        <v>13</v>
      </c>
      <c r="F58" s="10">
        <v>29.99</v>
      </c>
      <c r="G58" s="9">
        <v>29.99</v>
      </c>
      <c r="H58" s="8" t="s">
        <v>3685</v>
      </c>
      <c r="I58" s="7" t="s">
        <v>3210</v>
      </c>
      <c r="J58" s="11" t="s">
        <v>3351</v>
      </c>
      <c r="K58" s="7" t="s">
        <v>3326</v>
      </c>
      <c r="L58" s="7" t="s">
        <v>3682</v>
      </c>
      <c r="M58" s="12" t="str">
        <f>HYPERLINK("http://slimages.macys.com/is/image/MCY/3955888 ")</f>
        <v xml:space="preserve">http://slimages.macys.com/is/image/MCY/3955888 </v>
      </c>
    </row>
    <row r="59" spans="1:13" ht="15.2" customHeight="1" x14ac:dyDescent="0.2">
      <c r="A59" s="6" t="s">
        <v>3870</v>
      </c>
      <c r="B59" s="7" t="s">
        <v>3871</v>
      </c>
      <c r="C59" s="8">
        <v>3</v>
      </c>
      <c r="D59" s="9">
        <v>13</v>
      </c>
      <c r="E59" s="9">
        <v>39</v>
      </c>
      <c r="F59" s="10">
        <v>29.99</v>
      </c>
      <c r="G59" s="9">
        <v>89.97</v>
      </c>
      <c r="H59" s="8" t="s">
        <v>3685</v>
      </c>
      <c r="I59" s="7" t="s">
        <v>3210</v>
      </c>
      <c r="J59" s="11" t="s">
        <v>3204</v>
      </c>
      <c r="K59" s="7" t="s">
        <v>3326</v>
      </c>
      <c r="L59" s="7" t="s">
        <v>3682</v>
      </c>
      <c r="M59" s="12" t="str">
        <f>HYPERLINK("http://slimages.macys.com/is/image/MCY/3955888 ")</f>
        <v xml:space="preserve">http://slimages.macys.com/is/image/MCY/3955888 </v>
      </c>
    </row>
    <row r="60" spans="1:13" ht="15.2" customHeight="1" x14ac:dyDescent="0.2">
      <c r="A60" s="6" t="s">
        <v>823</v>
      </c>
      <c r="B60" s="7" t="s">
        <v>824</v>
      </c>
      <c r="C60" s="8">
        <v>1</v>
      </c>
      <c r="D60" s="9">
        <v>13</v>
      </c>
      <c r="E60" s="9">
        <v>13</v>
      </c>
      <c r="F60" s="10">
        <v>29.99</v>
      </c>
      <c r="G60" s="9">
        <v>29.99</v>
      </c>
      <c r="H60" s="8" t="s">
        <v>2624</v>
      </c>
      <c r="I60" s="7" t="s">
        <v>3210</v>
      </c>
      <c r="J60" s="11" t="s">
        <v>3351</v>
      </c>
      <c r="K60" s="7" t="s">
        <v>3326</v>
      </c>
      <c r="L60" s="7" t="s">
        <v>3682</v>
      </c>
      <c r="M60" s="12" t="str">
        <f>HYPERLINK("http://slimages.macys.com/is/image/MCY/3955897 ")</f>
        <v xml:space="preserve">http://slimages.macys.com/is/image/MCY/3955897 </v>
      </c>
    </row>
    <row r="61" spans="1:13" ht="15.2" customHeight="1" x14ac:dyDescent="0.2">
      <c r="A61" s="6" t="s">
        <v>825</v>
      </c>
      <c r="B61" s="7" t="s">
        <v>826</v>
      </c>
      <c r="C61" s="8">
        <v>1</v>
      </c>
      <c r="D61" s="9">
        <v>12.95</v>
      </c>
      <c r="E61" s="9">
        <v>12.95</v>
      </c>
      <c r="F61" s="10">
        <v>29.99</v>
      </c>
      <c r="G61" s="9">
        <v>29.99</v>
      </c>
      <c r="H61" s="8" t="s">
        <v>3786</v>
      </c>
      <c r="I61" s="7" t="s">
        <v>3288</v>
      </c>
      <c r="J61" s="11" t="s">
        <v>3351</v>
      </c>
      <c r="K61" s="7" t="s">
        <v>3326</v>
      </c>
      <c r="L61" s="7" t="s">
        <v>3327</v>
      </c>
      <c r="M61" s="12" t="str">
        <f>HYPERLINK("http://slimages.macys.com/is/image/MCY/3954387 ")</f>
        <v xml:space="preserve">http://slimages.macys.com/is/image/MCY/3954387 </v>
      </c>
    </row>
    <row r="62" spans="1:13" ht="15.2" customHeight="1" x14ac:dyDescent="0.2">
      <c r="A62" s="6" t="s">
        <v>2383</v>
      </c>
      <c r="B62" s="7" t="s">
        <v>2384</v>
      </c>
      <c r="C62" s="8">
        <v>3</v>
      </c>
      <c r="D62" s="9">
        <v>12.6</v>
      </c>
      <c r="E62" s="9">
        <v>37.799999999999997</v>
      </c>
      <c r="F62" s="10">
        <v>29.99</v>
      </c>
      <c r="G62" s="9">
        <v>89.97</v>
      </c>
      <c r="H62" s="8" t="s">
        <v>3696</v>
      </c>
      <c r="I62" s="7" t="s">
        <v>3288</v>
      </c>
      <c r="J62" s="11" t="s">
        <v>3202</v>
      </c>
      <c r="K62" s="7" t="s">
        <v>3300</v>
      </c>
      <c r="L62" s="7" t="s">
        <v>3301</v>
      </c>
      <c r="M62" s="12" t="str">
        <f t="shared" ref="M62:M67" si="1">HYPERLINK("http://slimages.macys.com/is/image/MCY/3857674 ")</f>
        <v xml:space="preserve">http://slimages.macys.com/is/image/MCY/3857674 </v>
      </c>
    </row>
    <row r="63" spans="1:13" ht="15.2" customHeight="1" x14ac:dyDescent="0.2">
      <c r="A63" s="6" t="s">
        <v>2229</v>
      </c>
      <c r="B63" s="7" t="s">
        <v>2230</v>
      </c>
      <c r="C63" s="8">
        <v>1</v>
      </c>
      <c r="D63" s="9">
        <v>12.6</v>
      </c>
      <c r="E63" s="9">
        <v>12.6</v>
      </c>
      <c r="F63" s="10">
        <v>29.99</v>
      </c>
      <c r="G63" s="9">
        <v>29.99</v>
      </c>
      <c r="H63" s="8" t="s">
        <v>3696</v>
      </c>
      <c r="I63" s="7" t="s">
        <v>3185</v>
      </c>
      <c r="J63" s="11" t="s">
        <v>3202</v>
      </c>
      <c r="K63" s="7" t="s">
        <v>3300</v>
      </c>
      <c r="L63" s="7" t="s">
        <v>3301</v>
      </c>
      <c r="M63" s="12" t="str">
        <f t="shared" si="1"/>
        <v xml:space="preserve">http://slimages.macys.com/is/image/MCY/3857674 </v>
      </c>
    </row>
    <row r="64" spans="1:13" ht="15.2" customHeight="1" x14ac:dyDescent="0.2">
      <c r="A64" s="6" t="s">
        <v>2227</v>
      </c>
      <c r="B64" s="7" t="s">
        <v>2228</v>
      </c>
      <c r="C64" s="8">
        <v>1</v>
      </c>
      <c r="D64" s="9">
        <v>12.6</v>
      </c>
      <c r="E64" s="9">
        <v>12.6</v>
      </c>
      <c r="F64" s="10">
        <v>29.99</v>
      </c>
      <c r="G64" s="9">
        <v>29.99</v>
      </c>
      <c r="H64" s="8" t="s">
        <v>3696</v>
      </c>
      <c r="I64" s="7" t="s">
        <v>3288</v>
      </c>
      <c r="J64" s="11" t="s">
        <v>3186</v>
      </c>
      <c r="K64" s="7" t="s">
        <v>3300</v>
      </c>
      <c r="L64" s="7" t="s">
        <v>3301</v>
      </c>
      <c r="M64" s="12" t="str">
        <f t="shared" si="1"/>
        <v xml:space="preserve">http://slimages.macys.com/is/image/MCY/3857674 </v>
      </c>
    </row>
    <row r="65" spans="1:13" ht="15.2" customHeight="1" x14ac:dyDescent="0.2">
      <c r="A65" s="6" t="s">
        <v>2225</v>
      </c>
      <c r="B65" s="7" t="s">
        <v>2226</v>
      </c>
      <c r="C65" s="8">
        <v>1</v>
      </c>
      <c r="D65" s="9">
        <v>12.6</v>
      </c>
      <c r="E65" s="9">
        <v>12.6</v>
      </c>
      <c r="F65" s="10">
        <v>29.99</v>
      </c>
      <c r="G65" s="9">
        <v>29.99</v>
      </c>
      <c r="H65" s="8" t="s">
        <v>3696</v>
      </c>
      <c r="I65" s="7" t="s">
        <v>3185</v>
      </c>
      <c r="J65" s="11" t="s">
        <v>3186</v>
      </c>
      <c r="K65" s="7" t="s">
        <v>3300</v>
      </c>
      <c r="L65" s="7" t="s">
        <v>3301</v>
      </c>
      <c r="M65" s="12" t="str">
        <f t="shared" si="1"/>
        <v xml:space="preserve">http://slimages.macys.com/is/image/MCY/3857674 </v>
      </c>
    </row>
    <row r="66" spans="1:13" ht="15.2" customHeight="1" x14ac:dyDescent="0.2">
      <c r="A66" s="6" t="s">
        <v>1987</v>
      </c>
      <c r="B66" s="7" t="s">
        <v>1988</v>
      </c>
      <c r="C66" s="8">
        <v>2</v>
      </c>
      <c r="D66" s="9">
        <v>12.6</v>
      </c>
      <c r="E66" s="9">
        <v>25.2</v>
      </c>
      <c r="F66" s="10">
        <v>29.99</v>
      </c>
      <c r="G66" s="9">
        <v>59.98</v>
      </c>
      <c r="H66" s="8" t="s">
        <v>3696</v>
      </c>
      <c r="I66" s="7" t="s">
        <v>3288</v>
      </c>
      <c r="J66" s="11" t="s">
        <v>3236</v>
      </c>
      <c r="K66" s="7" t="s">
        <v>3300</v>
      </c>
      <c r="L66" s="7" t="s">
        <v>3301</v>
      </c>
      <c r="M66" s="12" t="str">
        <f t="shared" si="1"/>
        <v xml:space="preserve">http://slimages.macys.com/is/image/MCY/3857674 </v>
      </c>
    </row>
    <row r="67" spans="1:13" ht="15.2" customHeight="1" x14ac:dyDescent="0.2">
      <c r="A67" s="6" t="s">
        <v>4077</v>
      </c>
      <c r="B67" s="7" t="s">
        <v>4078</v>
      </c>
      <c r="C67" s="8">
        <v>1</v>
      </c>
      <c r="D67" s="9">
        <v>12.6</v>
      </c>
      <c r="E67" s="9">
        <v>12.6</v>
      </c>
      <c r="F67" s="10">
        <v>29.99</v>
      </c>
      <c r="G67" s="9">
        <v>29.99</v>
      </c>
      <c r="H67" s="8" t="s">
        <v>3696</v>
      </c>
      <c r="I67" s="7" t="s">
        <v>3288</v>
      </c>
      <c r="J67" s="11" t="s">
        <v>3231</v>
      </c>
      <c r="K67" s="7" t="s">
        <v>3300</v>
      </c>
      <c r="L67" s="7" t="s">
        <v>3301</v>
      </c>
      <c r="M67" s="12" t="str">
        <f t="shared" si="1"/>
        <v xml:space="preserve">http://slimages.macys.com/is/image/MCY/3857674 </v>
      </c>
    </row>
    <row r="68" spans="1:13" ht="15.2" customHeight="1" x14ac:dyDescent="0.2">
      <c r="A68" s="6" t="s">
        <v>827</v>
      </c>
      <c r="B68" s="7" t="s">
        <v>828</v>
      </c>
      <c r="C68" s="8">
        <v>1</v>
      </c>
      <c r="D68" s="9">
        <v>12.5</v>
      </c>
      <c r="E68" s="9">
        <v>12.5</v>
      </c>
      <c r="F68" s="10">
        <v>44</v>
      </c>
      <c r="G68" s="9">
        <v>44</v>
      </c>
      <c r="H68" s="8" t="s">
        <v>1200</v>
      </c>
      <c r="I68" s="7" t="s">
        <v>3185</v>
      </c>
      <c r="J68" s="11" t="s">
        <v>3231</v>
      </c>
      <c r="K68" s="7" t="s">
        <v>3222</v>
      </c>
      <c r="L68" s="7" t="s">
        <v>3223</v>
      </c>
      <c r="M68" s="12" t="str">
        <f>HYPERLINK("http://slimages.macys.com/is/image/MCY/3611440 ")</f>
        <v xml:space="preserve">http://slimages.macys.com/is/image/MCY/3611440 </v>
      </c>
    </row>
    <row r="69" spans="1:13" ht="15.2" customHeight="1" x14ac:dyDescent="0.2">
      <c r="A69" s="6" t="s">
        <v>4265</v>
      </c>
      <c r="B69" s="7" t="s">
        <v>4266</v>
      </c>
      <c r="C69" s="8">
        <v>1</v>
      </c>
      <c r="D69" s="9">
        <v>12.5</v>
      </c>
      <c r="E69" s="9">
        <v>12.5</v>
      </c>
      <c r="F69" s="10">
        <v>29.99</v>
      </c>
      <c r="G69" s="9">
        <v>29.99</v>
      </c>
      <c r="H69" s="8" t="s">
        <v>3699</v>
      </c>
      <c r="I69" s="7" t="s">
        <v>3185</v>
      </c>
      <c r="J69" s="11" t="s">
        <v>3336</v>
      </c>
      <c r="K69" s="7" t="s">
        <v>3326</v>
      </c>
      <c r="L69" s="7" t="s">
        <v>3282</v>
      </c>
      <c r="M69" s="12" t="str">
        <f>HYPERLINK("http://slimages.macys.com/is/image/MCY/3873065 ")</f>
        <v xml:space="preserve">http://slimages.macys.com/is/image/MCY/3873065 </v>
      </c>
    </row>
    <row r="70" spans="1:13" ht="15.2" customHeight="1" x14ac:dyDescent="0.2">
      <c r="A70" s="6" t="s">
        <v>3700</v>
      </c>
      <c r="B70" s="7" t="s">
        <v>3701</v>
      </c>
      <c r="C70" s="8">
        <v>1</v>
      </c>
      <c r="D70" s="9">
        <v>12.5</v>
      </c>
      <c r="E70" s="9">
        <v>12.5</v>
      </c>
      <c r="F70" s="10">
        <v>29.99</v>
      </c>
      <c r="G70" s="9">
        <v>29.99</v>
      </c>
      <c r="H70" s="8" t="s">
        <v>3699</v>
      </c>
      <c r="I70" s="7" t="s">
        <v>3185</v>
      </c>
      <c r="J70" s="11" t="s">
        <v>3338</v>
      </c>
      <c r="K70" s="7" t="s">
        <v>3326</v>
      </c>
      <c r="L70" s="7" t="s">
        <v>3282</v>
      </c>
      <c r="M70" s="12" t="str">
        <f>HYPERLINK("http://slimages.macys.com/is/image/MCY/3873065 ")</f>
        <v xml:space="preserve">http://slimages.macys.com/is/image/MCY/3873065 </v>
      </c>
    </row>
    <row r="71" spans="1:13" ht="15.2" customHeight="1" x14ac:dyDescent="0.2">
      <c r="A71" s="6" t="s">
        <v>829</v>
      </c>
      <c r="B71" s="7" t="s">
        <v>830</v>
      </c>
      <c r="C71" s="8">
        <v>1</v>
      </c>
      <c r="D71" s="9">
        <v>12.5</v>
      </c>
      <c r="E71" s="9">
        <v>12.5</v>
      </c>
      <c r="F71" s="10">
        <v>39</v>
      </c>
      <c r="G71" s="9">
        <v>39</v>
      </c>
      <c r="H71" s="8" t="s">
        <v>3332</v>
      </c>
      <c r="I71" s="7"/>
      <c r="J71" s="11" t="s">
        <v>3242</v>
      </c>
      <c r="K71" s="7" t="s">
        <v>3295</v>
      </c>
      <c r="L71" s="7" t="s">
        <v>3296</v>
      </c>
      <c r="M71" s="12" t="str">
        <f>HYPERLINK("http://slimages.macys.com/is/image/MCY/3718873 ")</f>
        <v xml:space="preserve">http://slimages.macys.com/is/image/MCY/3718873 </v>
      </c>
    </row>
    <row r="72" spans="1:13" ht="15.2" customHeight="1" x14ac:dyDescent="0.2">
      <c r="A72" s="6" t="s">
        <v>831</v>
      </c>
      <c r="B72" s="7" t="s">
        <v>832</v>
      </c>
      <c r="C72" s="8">
        <v>1</v>
      </c>
      <c r="D72" s="9">
        <v>12</v>
      </c>
      <c r="E72" s="9">
        <v>12</v>
      </c>
      <c r="F72" s="10">
        <v>29.99</v>
      </c>
      <c r="G72" s="9">
        <v>29.99</v>
      </c>
      <c r="H72" s="8" t="s">
        <v>2233</v>
      </c>
      <c r="I72" s="7" t="s">
        <v>3182</v>
      </c>
      <c r="J72" s="11" t="s">
        <v>3231</v>
      </c>
      <c r="K72" s="7" t="s">
        <v>3241</v>
      </c>
      <c r="L72" s="7" t="s">
        <v>3277</v>
      </c>
      <c r="M72" s="12" t="str">
        <f>HYPERLINK("http://slimages.macys.com/is/image/MCY/3682473 ")</f>
        <v xml:space="preserve">http://slimages.macys.com/is/image/MCY/3682473 </v>
      </c>
    </row>
    <row r="73" spans="1:13" ht="15.2" customHeight="1" x14ac:dyDescent="0.2">
      <c r="A73" s="6" t="s">
        <v>833</v>
      </c>
      <c r="B73" s="7" t="s">
        <v>834</v>
      </c>
      <c r="C73" s="8">
        <v>1</v>
      </c>
      <c r="D73" s="9">
        <v>12</v>
      </c>
      <c r="E73" s="9">
        <v>12</v>
      </c>
      <c r="F73" s="10">
        <v>39</v>
      </c>
      <c r="G73" s="9">
        <v>39</v>
      </c>
      <c r="H73" s="8" t="s">
        <v>702</v>
      </c>
      <c r="I73" s="7" t="s">
        <v>3252</v>
      </c>
      <c r="J73" s="11" t="s">
        <v>3231</v>
      </c>
      <c r="K73" s="7" t="s">
        <v>3295</v>
      </c>
      <c r="L73" s="7" t="s">
        <v>3296</v>
      </c>
      <c r="M73" s="12" t="str">
        <f>HYPERLINK("http://slimages.macys.com/is/image/MCY/3662763 ")</f>
        <v xml:space="preserve">http://slimages.macys.com/is/image/MCY/3662763 </v>
      </c>
    </row>
    <row r="74" spans="1:13" ht="15.2" customHeight="1" x14ac:dyDescent="0.2">
      <c r="A74" s="6" t="s">
        <v>703</v>
      </c>
      <c r="B74" s="7" t="s">
        <v>694</v>
      </c>
      <c r="C74" s="8">
        <v>1</v>
      </c>
      <c r="D74" s="9">
        <v>12</v>
      </c>
      <c r="E74" s="9">
        <v>12</v>
      </c>
      <c r="F74" s="10">
        <v>27.99</v>
      </c>
      <c r="G74" s="9">
        <v>27.99</v>
      </c>
      <c r="H74" s="8">
        <v>47730</v>
      </c>
      <c r="I74" s="7" t="s">
        <v>3381</v>
      </c>
      <c r="J74" s="11" t="s">
        <v>3202</v>
      </c>
      <c r="K74" s="7" t="s">
        <v>3323</v>
      </c>
      <c r="L74" s="7" t="s">
        <v>4087</v>
      </c>
      <c r="M74" s="12" t="str">
        <f>HYPERLINK("http://slimages.macys.com/is/image/MCY/3787584 ")</f>
        <v xml:space="preserve">http://slimages.macys.com/is/image/MCY/3787584 </v>
      </c>
    </row>
    <row r="75" spans="1:13" ht="15.2" customHeight="1" x14ac:dyDescent="0.2">
      <c r="A75" s="6" t="s">
        <v>835</v>
      </c>
      <c r="B75" s="7" t="s">
        <v>836</v>
      </c>
      <c r="C75" s="8">
        <v>1</v>
      </c>
      <c r="D75" s="9">
        <v>12</v>
      </c>
      <c r="E75" s="9">
        <v>12</v>
      </c>
      <c r="F75" s="10">
        <v>25.99</v>
      </c>
      <c r="G75" s="9">
        <v>25.99</v>
      </c>
      <c r="H75" s="8" t="s">
        <v>4080</v>
      </c>
      <c r="I75" s="7" t="s">
        <v>3185</v>
      </c>
      <c r="J75" s="11" t="s">
        <v>3331</v>
      </c>
      <c r="K75" s="7" t="s">
        <v>3326</v>
      </c>
      <c r="L75" s="7" t="s">
        <v>3360</v>
      </c>
      <c r="M75" s="12" t="str">
        <f>HYPERLINK("http://slimages.macys.com/is/image/MCY/3832860 ")</f>
        <v xml:space="preserve">http://slimages.macys.com/is/image/MCY/3832860 </v>
      </c>
    </row>
    <row r="76" spans="1:13" ht="15.2" customHeight="1" x14ac:dyDescent="0.2">
      <c r="A76" s="6" t="s">
        <v>837</v>
      </c>
      <c r="B76" s="7" t="s">
        <v>838</v>
      </c>
      <c r="C76" s="8">
        <v>1</v>
      </c>
      <c r="D76" s="9">
        <v>12</v>
      </c>
      <c r="E76" s="9">
        <v>12</v>
      </c>
      <c r="F76" s="10">
        <v>29.99</v>
      </c>
      <c r="G76" s="9">
        <v>29.99</v>
      </c>
      <c r="H76" s="8" t="s">
        <v>4079</v>
      </c>
      <c r="I76" s="7" t="s">
        <v>3989</v>
      </c>
      <c r="J76" s="11" t="s">
        <v>3240</v>
      </c>
      <c r="K76" s="7" t="s">
        <v>3326</v>
      </c>
      <c r="L76" s="7" t="s">
        <v>3693</v>
      </c>
      <c r="M76" s="12" t="str">
        <f>HYPERLINK("http://slimages.macys.com/is/image/MCY/3797822 ")</f>
        <v xml:space="preserve">http://slimages.macys.com/is/image/MCY/3797822 </v>
      </c>
    </row>
    <row r="77" spans="1:13" ht="15.2" customHeight="1" x14ac:dyDescent="0.2">
      <c r="A77" s="6" t="s">
        <v>839</v>
      </c>
      <c r="B77" s="7" t="s">
        <v>840</v>
      </c>
      <c r="C77" s="8">
        <v>1</v>
      </c>
      <c r="D77" s="9">
        <v>12</v>
      </c>
      <c r="E77" s="9">
        <v>12</v>
      </c>
      <c r="F77" s="10">
        <v>25.99</v>
      </c>
      <c r="G77" s="9">
        <v>25.99</v>
      </c>
      <c r="H77" s="8" t="s">
        <v>4080</v>
      </c>
      <c r="I77" s="7" t="s">
        <v>3989</v>
      </c>
      <c r="J77" s="11" t="s">
        <v>3271</v>
      </c>
      <c r="K77" s="7" t="s">
        <v>3326</v>
      </c>
      <c r="L77" s="7" t="s">
        <v>3360</v>
      </c>
      <c r="M77" s="12" t="str">
        <f>HYPERLINK("http://slimages.macys.com/is/image/MCY/3832869 ")</f>
        <v xml:space="preserve">http://slimages.macys.com/is/image/MCY/3832869 </v>
      </c>
    </row>
    <row r="78" spans="1:13" ht="15.2" customHeight="1" x14ac:dyDescent="0.2">
      <c r="A78" s="6" t="s">
        <v>4269</v>
      </c>
      <c r="B78" s="7" t="s">
        <v>4270</v>
      </c>
      <c r="C78" s="8">
        <v>1</v>
      </c>
      <c r="D78" s="9">
        <v>12</v>
      </c>
      <c r="E78" s="9">
        <v>12</v>
      </c>
      <c r="F78" s="10">
        <v>44</v>
      </c>
      <c r="G78" s="9">
        <v>44</v>
      </c>
      <c r="H78" s="8" t="s">
        <v>4271</v>
      </c>
      <c r="I78" s="7" t="s">
        <v>3286</v>
      </c>
      <c r="J78" s="11" t="s">
        <v>3202</v>
      </c>
      <c r="K78" s="7" t="s">
        <v>3217</v>
      </c>
      <c r="L78" s="7" t="s">
        <v>3218</v>
      </c>
      <c r="M78" s="12" t="str">
        <f>HYPERLINK("http://slimages.macys.com/is/image/MCY/3590097 ")</f>
        <v xml:space="preserve">http://slimages.macys.com/is/image/MCY/3590097 </v>
      </c>
    </row>
    <row r="79" spans="1:13" ht="15.2" customHeight="1" x14ac:dyDescent="0.2">
      <c r="A79" s="6" t="s">
        <v>841</v>
      </c>
      <c r="B79" s="7" t="s">
        <v>842</v>
      </c>
      <c r="C79" s="8">
        <v>1</v>
      </c>
      <c r="D79" s="9">
        <v>12</v>
      </c>
      <c r="E79" s="9">
        <v>12</v>
      </c>
      <c r="F79" s="10">
        <v>49</v>
      </c>
      <c r="G79" s="9">
        <v>49</v>
      </c>
      <c r="H79" s="8" t="s">
        <v>3883</v>
      </c>
      <c r="I79" s="7" t="s">
        <v>3339</v>
      </c>
      <c r="J79" s="11" t="s">
        <v>3202</v>
      </c>
      <c r="K79" s="7" t="s">
        <v>3295</v>
      </c>
      <c r="L79" s="7" t="s">
        <v>3296</v>
      </c>
      <c r="M79" s="12" t="str">
        <f>HYPERLINK("http://slimages.macys.com/is/image/MCY/3877474 ")</f>
        <v xml:space="preserve">http://slimages.macys.com/is/image/MCY/3877474 </v>
      </c>
    </row>
    <row r="80" spans="1:13" ht="15.2" customHeight="1" x14ac:dyDescent="0.2">
      <c r="A80" s="6" t="s">
        <v>3891</v>
      </c>
      <c r="B80" s="7" t="s">
        <v>3892</v>
      </c>
      <c r="C80" s="8">
        <v>1</v>
      </c>
      <c r="D80" s="9">
        <v>11.89</v>
      </c>
      <c r="E80" s="9">
        <v>11.89</v>
      </c>
      <c r="F80" s="10">
        <v>27.99</v>
      </c>
      <c r="G80" s="9">
        <v>27.99</v>
      </c>
      <c r="H80" s="8" t="s">
        <v>3704</v>
      </c>
      <c r="I80" s="7" t="s">
        <v>3355</v>
      </c>
      <c r="J80" s="11" t="s">
        <v>3202</v>
      </c>
      <c r="K80" s="7" t="s">
        <v>3343</v>
      </c>
      <c r="L80" s="7" t="s">
        <v>3354</v>
      </c>
      <c r="M80" s="12" t="str">
        <f>HYPERLINK("http://slimages.macys.com/is/image/MCY/3910851 ")</f>
        <v xml:space="preserve">http://slimages.macys.com/is/image/MCY/3910851 </v>
      </c>
    </row>
    <row r="81" spans="1:13" ht="15.2" customHeight="1" x14ac:dyDescent="0.2">
      <c r="A81" s="6" t="s">
        <v>3887</v>
      </c>
      <c r="B81" s="7" t="s">
        <v>3888</v>
      </c>
      <c r="C81" s="8">
        <v>1</v>
      </c>
      <c r="D81" s="9">
        <v>11.89</v>
      </c>
      <c r="E81" s="9">
        <v>11.89</v>
      </c>
      <c r="F81" s="10">
        <v>27.99</v>
      </c>
      <c r="G81" s="9">
        <v>27.99</v>
      </c>
      <c r="H81" s="8" t="s">
        <v>3704</v>
      </c>
      <c r="I81" s="7" t="s">
        <v>3355</v>
      </c>
      <c r="J81" s="11" t="s">
        <v>3231</v>
      </c>
      <c r="K81" s="7" t="s">
        <v>3343</v>
      </c>
      <c r="L81" s="7" t="s">
        <v>3354</v>
      </c>
      <c r="M81" s="12" t="str">
        <f>HYPERLINK("http://slimages.macys.com/is/image/MCY/3910851 ")</f>
        <v xml:space="preserve">http://slimages.macys.com/is/image/MCY/3910851 </v>
      </c>
    </row>
    <row r="82" spans="1:13" ht="15.2" customHeight="1" x14ac:dyDescent="0.2">
      <c r="A82" s="6" t="s">
        <v>2658</v>
      </c>
      <c r="B82" s="7" t="s">
        <v>2659</v>
      </c>
      <c r="C82" s="8">
        <v>1</v>
      </c>
      <c r="D82" s="9">
        <v>11.89</v>
      </c>
      <c r="E82" s="9">
        <v>11.89</v>
      </c>
      <c r="F82" s="10">
        <v>27.99</v>
      </c>
      <c r="G82" s="9">
        <v>27.99</v>
      </c>
      <c r="H82" s="8" t="s">
        <v>3704</v>
      </c>
      <c r="I82" s="7" t="s">
        <v>3386</v>
      </c>
      <c r="J82" s="11" t="s">
        <v>3242</v>
      </c>
      <c r="K82" s="7" t="s">
        <v>3343</v>
      </c>
      <c r="L82" s="7" t="s">
        <v>3354</v>
      </c>
      <c r="M82" s="12" t="str">
        <f>HYPERLINK("http://slimages.macys.com/is/image/MCY/3910851 ")</f>
        <v xml:space="preserve">http://slimages.macys.com/is/image/MCY/3910851 </v>
      </c>
    </row>
    <row r="83" spans="1:13" ht="15.2" customHeight="1" x14ac:dyDescent="0.2">
      <c r="A83" s="6" t="s">
        <v>843</v>
      </c>
      <c r="B83" s="7" t="s">
        <v>844</v>
      </c>
      <c r="C83" s="8">
        <v>1</v>
      </c>
      <c r="D83" s="9">
        <v>11.8</v>
      </c>
      <c r="E83" s="9">
        <v>11.8</v>
      </c>
      <c r="F83" s="10">
        <v>39</v>
      </c>
      <c r="G83" s="9">
        <v>39</v>
      </c>
      <c r="H83" s="8" t="s">
        <v>2041</v>
      </c>
      <c r="I83" s="7" t="s">
        <v>3185</v>
      </c>
      <c r="J83" s="11" t="s">
        <v>3220</v>
      </c>
      <c r="K83" s="7" t="s">
        <v>3222</v>
      </c>
      <c r="L83" s="7" t="s">
        <v>3223</v>
      </c>
      <c r="M83" s="12" t="str">
        <f>HYPERLINK("http://slimages.macys.com/is/image/MCY/3777289 ")</f>
        <v xml:space="preserve">http://slimages.macys.com/is/image/MCY/3777289 </v>
      </c>
    </row>
    <row r="84" spans="1:13" ht="15.2" customHeight="1" x14ac:dyDescent="0.2">
      <c r="A84" s="6" t="s">
        <v>3895</v>
      </c>
      <c r="B84" s="7" t="s">
        <v>3896</v>
      </c>
      <c r="C84" s="8">
        <v>1</v>
      </c>
      <c r="D84" s="9">
        <v>11.76</v>
      </c>
      <c r="E84" s="9">
        <v>11.76</v>
      </c>
      <c r="F84" s="10">
        <v>27.99</v>
      </c>
      <c r="G84" s="9">
        <v>27.99</v>
      </c>
      <c r="H84" s="8" t="s">
        <v>3897</v>
      </c>
      <c r="I84" s="7" t="s">
        <v>3185</v>
      </c>
      <c r="J84" s="11" t="s">
        <v>3242</v>
      </c>
      <c r="K84" s="7" t="s">
        <v>3300</v>
      </c>
      <c r="L84" s="7" t="s">
        <v>3301</v>
      </c>
      <c r="M84" s="12" t="str">
        <f>HYPERLINK("http://slimages.macys.com/is/image/MCY/3899763 ")</f>
        <v xml:space="preserve">http://slimages.macys.com/is/image/MCY/3899763 </v>
      </c>
    </row>
    <row r="85" spans="1:13" ht="15.2" customHeight="1" x14ac:dyDescent="0.2">
      <c r="A85" s="6" t="s">
        <v>845</v>
      </c>
      <c r="B85" s="7" t="s">
        <v>846</v>
      </c>
      <c r="C85" s="8">
        <v>1</v>
      </c>
      <c r="D85" s="9">
        <v>11.65</v>
      </c>
      <c r="E85" s="9">
        <v>11.65</v>
      </c>
      <c r="F85" s="10">
        <v>27.99</v>
      </c>
      <c r="G85" s="9">
        <v>27.99</v>
      </c>
      <c r="H85" s="8" t="s">
        <v>2662</v>
      </c>
      <c r="I85" s="7" t="s">
        <v>3252</v>
      </c>
      <c r="J85" s="11" t="s">
        <v>3242</v>
      </c>
      <c r="K85" s="7" t="s">
        <v>3300</v>
      </c>
      <c r="L85" s="7" t="s">
        <v>3301</v>
      </c>
      <c r="M85" s="12" t="str">
        <f>HYPERLINK("http://slimages.macys.com/is/image/MCY/3899787 ")</f>
        <v xml:space="preserve">http://slimages.macys.com/is/image/MCY/3899787 </v>
      </c>
    </row>
    <row r="86" spans="1:13" ht="15.2" customHeight="1" x14ac:dyDescent="0.2">
      <c r="A86" s="6" t="s">
        <v>3898</v>
      </c>
      <c r="B86" s="7" t="s">
        <v>3899</v>
      </c>
      <c r="C86" s="8">
        <v>1</v>
      </c>
      <c r="D86" s="9">
        <v>11.65</v>
      </c>
      <c r="E86" s="9">
        <v>11.65</v>
      </c>
      <c r="F86" s="10">
        <v>27.99</v>
      </c>
      <c r="G86" s="9">
        <v>27.99</v>
      </c>
      <c r="H86" s="8" t="s">
        <v>3900</v>
      </c>
      <c r="I86" s="7" t="s">
        <v>3216</v>
      </c>
      <c r="J86" s="11" t="s">
        <v>3202</v>
      </c>
      <c r="K86" s="7" t="s">
        <v>3300</v>
      </c>
      <c r="L86" s="7" t="s">
        <v>3301</v>
      </c>
      <c r="M86" s="12" t="str">
        <f>HYPERLINK("http://slimages.macys.com/is/image/MCY/3870613 ")</f>
        <v xml:space="preserve">http://slimages.macys.com/is/image/MCY/3870613 </v>
      </c>
    </row>
    <row r="87" spans="1:13" ht="15.2" customHeight="1" x14ac:dyDescent="0.2">
      <c r="A87" s="6" t="s">
        <v>704</v>
      </c>
      <c r="B87" s="7" t="s">
        <v>705</v>
      </c>
      <c r="C87" s="8">
        <v>1</v>
      </c>
      <c r="D87" s="9">
        <v>11.65</v>
      </c>
      <c r="E87" s="9">
        <v>11.65</v>
      </c>
      <c r="F87" s="10">
        <v>27.99</v>
      </c>
      <c r="G87" s="9">
        <v>27.99</v>
      </c>
      <c r="H87" s="8" t="s">
        <v>3900</v>
      </c>
      <c r="I87" s="7" t="s">
        <v>3216</v>
      </c>
      <c r="J87" s="11" t="s">
        <v>3231</v>
      </c>
      <c r="K87" s="7" t="s">
        <v>3300</v>
      </c>
      <c r="L87" s="7" t="s">
        <v>3301</v>
      </c>
      <c r="M87" s="12" t="str">
        <f>HYPERLINK("http://slimages.macys.com/is/image/MCY/3870613 ")</f>
        <v xml:space="preserve">http://slimages.macys.com/is/image/MCY/3870613 </v>
      </c>
    </row>
    <row r="88" spans="1:13" ht="15.2" customHeight="1" x14ac:dyDescent="0.2">
      <c r="A88" s="6" t="s">
        <v>847</v>
      </c>
      <c r="B88" s="7" t="s">
        <v>848</v>
      </c>
      <c r="C88" s="8">
        <v>1</v>
      </c>
      <c r="D88" s="9">
        <v>11.65</v>
      </c>
      <c r="E88" s="9">
        <v>11.65</v>
      </c>
      <c r="F88" s="10">
        <v>27.99</v>
      </c>
      <c r="G88" s="9">
        <v>27.99</v>
      </c>
      <c r="H88" s="8" t="s">
        <v>2234</v>
      </c>
      <c r="I88" s="7" t="s">
        <v>3185</v>
      </c>
      <c r="J88" s="11" t="s">
        <v>3220</v>
      </c>
      <c r="K88" s="7" t="s">
        <v>3300</v>
      </c>
      <c r="L88" s="7" t="s">
        <v>3301</v>
      </c>
      <c r="M88" s="12" t="str">
        <f>HYPERLINK("http://slimages.macys.com/is/image/MCY/3913107 ")</f>
        <v xml:space="preserve">http://slimages.macys.com/is/image/MCY/3913107 </v>
      </c>
    </row>
    <row r="89" spans="1:13" ht="15.2" customHeight="1" x14ac:dyDescent="0.2">
      <c r="A89" s="6" t="s">
        <v>2235</v>
      </c>
      <c r="B89" s="7" t="s">
        <v>2236</v>
      </c>
      <c r="C89" s="8">
        <v>1</v>
      </c>
      <c r="D89" s="9">
        <v>11.65</v>
      </c>
      <c r="E89" s="9">
        <v>11.65</v>
      </c>
      <c r="F89" s="10">
        <v>27.99</v>
      </c>
      <c r="G89" s="9">
        <v>27.99</v>
      </c>
      <c r="H89" s="8" t="s">
        <v>4085</v>
      </c>
      <c r="I89" s="7" t="s">
        <v>3216</v>
      </c>
      <c r="J89" s="11" t="s">
        <v>3202</v>
      </c>
      <c r="K89" s="7" t="s">
        <v>3300</v>
      </c>
      <c r="L89" s="7" t="s">
        <v>3301</v>
      </c>
      <c r="M89" s="12" t="str">
        <f>HYPERLINK("http://slimages.macys.com/is/image/MCY/3944667 ")</f>
        <v xml:space="preserve">http://slimages.macys.com/is/image/MCY/3944667 </v>
      </c>
    </row>
    <row r="90" spans="1:13" ht="15.2" customHeight="1" x14ac:dyDescent="0.2">
      <c r="A90" s="6" t="s">
        <v>849</v>
      </c>
      <c r="B90" s="7" t="s">
        <v>850</v>
      </c>
      <c r="C90" s="8">
        <v>3</v>
      </c>
      <c r="D90" s="9">
        <v>11.65</v>
      </c>
      <c r="E90" s="9">
        <v>34.950000000000003</v>
      </c>
      <c r="F90" s="10">
        <v>27.99</v>
      </c>
      <c r="G90" s="9">
        <v>83.97</v>
      </c>
      <c r="H90" s="8" t="s">
        <v>2234</v>
      </c>
      <c r="I90" s="7" t="s">
        <v>3185</v>
      </c>
      <c r="J90" s="11" t="s">
        <v>3231</v>
      </c>
      <c r="K90" s="7" t="s">
        <v>3300</v>
      </c>
      <c r="L90" s="7" t="s">
        <v>3301</v>
      </c>
      <c r="M90" s="12" t="str">
        <f>HYPERLINK("http://slimages.macys.com/is/image/MCY/3913107 ")</f>
        <v xml:space="preserve">http://slimages.macys.com/is/image/MCY/3913107 </v>
      </c>
    </row>
    <row r="91" spans="1:13" ht="15.2" customHeight="1" x14ac:dyDescent="0.2">
      <c r="A91" s="6" t="s">
        <v>706</v>
      </c>
      <c r="B91" s="7" t="s">
        <v>707</v>
      </c>
      <c r="C91" s="8">
        <v>1</v>
      </c>
      <c r="D91" s="9">
        <v>11.65</v>
      </c>
      <c r="E91" s="9">
        <v>11.65</v>
      </c>
      <c r="F91" s="10">
        <v>27.99</v>
      </c>
      <c r="G91" s="9">
        <v>27.99</v>
      </c>
      <c r="H91" s="8" t="s">
        <v>3900</v>
      </c>
      <c r="I91" s="7" t="s">
        <v>3216</v>
      </c>
      <c r="J91" s="11" t="s">
        <v>3242</v>
      </c>
      <c r="K91" s="7" t="s">
        <v>3300</v>
      </c>
      <c r="L91" s="7" t="s">
        <v>3301</v>
      </c>
      <c r="M91" s="12" t="str">
        <f>HYPERLINK("http://slimages.macys.com/is/image/MCY/3870613 ")</f>
        <v xml:space="preserve">http://slimages.macys.com/is/image/MCY/3870613 </v>
      </c>
    </row>
    <row r="92" spans="1:13" ht="15.2" customHeight="1" x14ac:dyDescent="0.2">
      <c r="A92" s="6" t="s">
        <v>2663</v>
      </c>
      <c r="B92" s="7" t="s">
        <v>2664</v>
      </c>
      <c r="C92" s="8">
        <v>1</v>
      </c>
      <c r="D92" s="9">
        <v>11.5</v>
      </c>
      <c r="E92" s="9">
        <v>11.5</v>
      </c>
      <c r="F92" s="10">
        <v>29.99</v>
      </c>
      <c r="G92" s="9">
        <v>29.99</v>
      </c>
      <c r="H92" s="8" t="s">
        <v>3350</v>
      </c>
      <c r="I92" s="7" t="s">
        <v>3207</v>
      </c>
      <c r="J92" s="11" t="s">
        <v>3204</v>
      </c>
      <c r="K92" s="7" t="s">
        <v>3326</v>
      </c>
      <c r="L92" s="7" t="s">
        <v>3327</v>
      </c>
      <c r="M92" s="12" t="str">
        <f>HYPERLINK("http://slimages.macys.com/is/image/MCY/3899624 ")</f>
        <v xml:space="preserve">http://slimages.macys.com/is/image/MCY/3899624 </v>
      </c>
    </row>
    <row r="93" spans="1:13" ht="15.2" customHeight="1" x14ac:dyDescent="0.2">
      <c r="A93" s="6" t="s">
        <v>851</v>
      </c>
      <c r="B93" s="7" t="s">
        <v>852</v>
      </c>
      <c r="C93" s="8">
        <v>1</v>
      </c>
      <c r="D93" s="9">
        <v>11.5</v>
      </c>
      <c r="E93" s="9">
        <v>11.5</v>
      </c>
      <c r="F93" s="10">
        <v>29.99</v>
      </c>
      <c r="G93" s="9">
        <v>29.99</v>
      </c>
      <c r="H93" s="8" t="s">
        <v>1220</v>
      </c>
      <c r="I93" s="7" t="s">
        <v>3182</v>
      </c>
      <c r="J93" s="11" t="s">
        <v>3351</v>
      </c>
      <c r="K93" s="7" t="s">
        <v>3326</v>
      </c>
      <c r="L93" s="7" t="s">
        <v>3693</v>
      </c>
      <c r="M93" s="12" t="str">
        <f>HYPERLINK("http://slimages.macys.com/is/image/MCY/3581689 ")</f>
        <v xml:space="preserve">http://slimages.macys.com/is/image/MCY/3581689 </v>
      </c>
    </row>
    <row r="94" spans="1:13" ht="15.2" customHeight="1" x14ac:dyDescent="0.2">
      <c r="A94" s="6" t="s">
        <v>853</v>
      </c>
      <c r="B94" s="7" t="s">
        <v>854</v>
      </c>
      <c r="C94" s="8">
        <v>1</v>
      </c>
      <c r="D94" s="9">
        <v>11.5</v>
      </c>
      <c r="E94" s="9">
        <v>11.5</v>
      </c>
      <c r="F94" s="10">
        <v>39</v>
      </c>
      <c r="G94" s="9">
        <v>39</v>
      </c>
      <c r="H94" s="8" t="s">
        <v>3708</v>
      </c>
      <c r="I94" s="7" t="s">
        <v>3185</v>
      </c>
      <c r="J94" s="11" t="s">
        <v>3204</v>
      </c>
      <c r="K94" s="7" t="s">
        <v>3295</v>
      </c>
      <c r="L94" s="7" t="s">
        <v>3296</v>
      </c>
      <c r="M94" s="12" t="str">
        <f>HYPERLINK("http://slimages.macys.com/is/image/MCY/3907754 ")</f>
        <v xml:space="preserve">http://slimages.macys.com/is/image/MCY/3907754 </v>
      </c>
    </row>
    <row r="95" spans="1:13" ht="15.2" customHeight="1" x14ac:dyDescent="0.2">
      <c r="A95" s="6" t="s">
        <v>855</v>
      </c>
      <c r="B95" s="7" t="s">
        <v>856</v>
      </c>
      <c r="C95" s="8">
        <v>1</v>
      </c>
      <c r="D95" s="9">
        <v>11.25</v>
      </c>
      <c r="E95" s="9">
        <v>11.25</v>
      </c>
      <c r="F95" s="10">
        <v>29.99</v>
      </c>
      <c r="G95" s="9">
        <v>29.99</v>
      </c>
      <c r="H95" s="8" t="s">
        <v>3906</v>
      </c>
      <c r="I95" s="7" t="s">
        <v>3421</v>
      </c>
      <c r="J95" s="11" t="s">
        <v>3351</v>
      </c>
      <c r="K95" s="7" t="s">
        <v>3326</v>
      </c>
      <c r="L95" s="7" t="s">
        <v>3327</v>
      </c>
      <c r="M95" s="12" t="str">
        <f>HYPERLINK("http://slimages.macys.com/is/image/MCY/3825803 ")</f>
        <v xml:space="preserve">http://slimages.macys.com/is/image/MCY/3825803 </v>
      </c>
    </row>
    <row r="96" spans="1:13" ht="15.2" customHeight="1" x14ac:dyDescent="0.2">
      <c r="A96" s="6" t="s">
        <v>3907</v>
      </c>
      <c r="B96" s="7" t="s">
        <v>3908</v>
      </c>
      <c r="C96" s="8">
        <v>1</v>
      </c>
      <c r="D96" s="9">
        <v>11.25</v>
      </c>
      <c r="E96" s="9">
        <v>11.25</v>
      </c>
      <c r="F96" s="10">
        <v>29.99</v>
      </c>
      <c r="G96" s="9">
        <v>29.99</v>
      </c>
      <c r="H96" s="8" t="s">
        <v>3906</v>
      </c>
      <c r="I96" s="7" t="s">
        <v>3421</v>
      </c>
      <c r="J96" s="11" t="s">
        <v>3240</v>
      </c>
      <c r="K96" s="7" t="s">
        <v>3326</v>
      </c>
      <c r="L96" s="7" t="s">
        <v>3327</v>
      </c>
      <c r="M96" s="12" t="str">
        <f>HYPERLINK("http://slimages.macys.com/is/image/MCY/3825803 ")</f>
        <v xml:space="preserve">http://slimages.macys.com/is/image/MCY/3825803 </v>
      </c>
    </row>
    <row r="97" spans="1:13" ht="15.2" customHeight="1" x14ac:dyDescent="0.2">
      <c r="A97" s="6" t="s">
        <v>857</v>
      </c>
      <c r="B97" s="7" t="s">
        <v>858</v>
      </c>
      <c r="C97" s="8">
        <v>1</v>
      </c>
      <c r="D97" s="9">
        <v>11.25</v>
      </c>
      <c r="E97" s="9">
        <v>11.25</v>
      </c>
      <c r="F97" s="10">
        <v>29.99</v>
      </c>
      <c r="G97" s="9">
        <v>29.99</v>
      </c>
      <c r="H97" s="8" t="s">
        <v>859</v>
      </c>
      <c r="I97" s="7" t="s">
        <v>3234</v>
      </c>
      <c r="J97" s="11" t="s">
        <v>3338</v>
      </c>
      <c r="K97" s="7" t="s">
        <v>3326</v>
      </c>
      <c r="L97" s="7" t="s">
        <v>3327</v>
      </c>
      <c r="M97" s="12" t="str">
        <f>HYPERLINK("http://slimages.macys.com/is/image/MCY/3825657 ")</f>
        <v xml:space="preserve">http://slimages.macys.com/is/image/MCY/3825657 </v>
      </c>
    </row>
    <row r="98" spans="1:13" ht="15.2" customHeight="1" x14ac:dyDescent="0.2">
      <c r="A98" s="6" t="s">
        <v>709</v>
      </c>
      <c r="B98" s="7" t="s">
        <v>710</v>
      </c>
      <c r="C98" s="8">
        <v>1</v>
      </c>
      <c r="D98" s="9">
        <v>11.25</v>
      </c>
      <c r="E98" s="9">
        <v>11.25</v>
      </c>
      <c r="F98" s="10">
        <v>27.99</v>
      </c>
      <c r="G98" s="9">
        <v>27.99</v>
      </c>
      <c r="H98" s="8" t="s">
        <v>711</v>
      </c>
      <c r="I98" s="7" t="s">
        <v>3185</v>
      </c>
      <c r="J98" s="11" t="s">
        <v>3220</v>
      </c>
      <c r="K98" s="7" t="s">
        <v>3343</v>
      </c>
      <c r="L98" s="7" t="s">
        <v>3371</v>
      </c>
      <c r="M98" s="12" t="str">
        <f>HYPERLINK("http://slimages.macys.com/is/image/MCY/3866148 ")</f>
        <v xml:space="preserve">http://slimages.macys.com/is/image/MCY/3866148 </v>
      </c>
    </row>
    <row r="99" spans="1:13" ht="15.2" customHeight="1" x14ac:dyDescent="0.2">
      <c r="A99" s="6" t="s">
        <v>860</v>
      </c>
      <c r="B99" s="7" t="s">
        <v>861</v>
      </c>
      <c r="C99" s="8">
        <v>1</v>
      </c>
      <c r="D99" s="9">
        <v>11.25</v>
      </c>
      <c r="E99" s="9">
        <v>11.25</v>
      </c>
      <c r="F99" s="10">
        <v>25.99</v>
      </c>
      <c r="G99" s="9">
        <v>25.99</v>
      </c>
      <c r="H99" s="8" t="s">
        <v>708</v>
      </c>
      <c r="I99" s="7" t="s">
        <v>3185</v>
      </c>
      <c r="J99" s="11" t="s">
        <v>3271</v>
      </c>
      <c r="K99" s="7" t="s">
        <v>3326</v>
      </c>
      <c r="L99" s="7" t="s">
        <v>3550</v>
      </c>
      <c r="M99" s="12" t="str">
        <f>HYPERLINK("http://slimages.macys.com/is/image/MCY/3755250 ")</f>
        <v xml:space="preserve">http://slimages.macys.com/is/image/MCY/3755250 </v>
      </c>
    </row>
    <row r="100" spans="1:13" ht="15.2" customHeight="1" x14ac:dyDescent="0.2">
      <c r="A100" s="6" t="s">
        <v>1898</v>
      </c>
      <c r="B100" s="7" t="s">
        <v>1899</v>
      </c>
      <c r="C100" s="8">
        <v>1</v>
      </c>
      <c r="D100" s="9">
        <v>11.25</v>
      </c>
      <c r="E100" s="9">
        <v>11.25</v>
      </c>
      <c r="F100" s="10">
        <v>27.99</v>
      </c>
      <c r="G100" s="9">
        <v>27.99</v>
      </c>
      <c r="H100" s="8" t="s">
        <v>1605</v>
      </c>
      <c r="I100" s="7" t="s">
        <v>3185</v>
      </c>
      <c r="J100" s="11" t="s">
        <v>3186</v>
      </c>
      <c r="K100" s="7" t="s">
        <v>3343</v>
      </c>
      <c r="L100" s="7" t="s">
        <v>3371</v>
      </c>
      <c r="M100" s="12" t="str">
        <f>HYPERLINK("http://slimages.macys.com/is/image/MCY/3820992 ")</f>
        <v xml:space="preserve">http://slimages.macys.com/is/image/MCY/3820992 </v>
      </c>
    </row>
    <row r="101" spans="1:13" ht="15.2" customHeight="1" x14ac:dyDescent="0.2">
      <c r="A101" s="6" t="s">
        <v>862</v>
      </c>
      <c r="B101" s="7" t="s">
        <v>863</v>
      </c>
      <c r="C101" s="8">
        <v>1</v>
      </c>
      <c r="D101" s="9">
        <v>11</v>
      </c>
      <c r="E101" s="9">
        <v>11</v>
      </c>
      <c r="F101" s="10">
        <v>39</v>
      </c>
      <c r="G101" s="9">
        <v>39</v>
      </c>
      <c r="H101" s="8" t="s">
        <v>4273</v>
      </c>
      <c r="I101" s="7" t="s">
        <v>3185</v>
      </c>
      <c r="J101" s="11" t="s">
        <v>3231</v>
      </c>
      <c r="K101" s="7" t="s">
        <v>3295</v>
      </c>
      <c r="L101" s="7" t="s">
        <v>3296</v>
      </c>
      <c r="M101" s="12" t="str">
        <f>HYPERLINK("http://slimages.macys.com/is/image/MCY/3540985 ")</f>
        <v xml:space="preserve">http://slimages.macys.com/is/image/MCY/3540985 </v>
      </c>
    </row>
    <row r="102" spans="1:13" ht="15.2" customHeight="1" x14ac:dyDescent="0.2">
      <c r="A102" s="6" t="s">
        <v>864</v>
      </c>
      <c r="B102" s="7" t="s">
        <v>865</v>
      </c>
      <c r="C102" s="8">
        <v>1</v>
      </c>
      <c r="D102" s="9">
        <v>11</v>
      </c>
      <c r="E102" s="9">
        <v>11</v>
      </c>
      <c r="F102" s="10">
        <v>27.99</v>
      </c>
      <c r="G102" s="9">
        <v>27.99</v>
      </c>
      <c r="H102" s="8" t="s">
        <v>4086</v>
      </c>
      <c r="I102" s="7" t="s">
        <v>3364</v>
      </c>
      <c r="J102" s="11" t="s">
        <v>3242</v>
      </c>
      <c r="K102" s="7" t="s">
        <v>3343</v>
      </c>
      <c r="L102" s="7" t="s">
        <v>3367</v>
      </c>
      <c r="M102" s="12" t="str">
        <f>HYPERLINK("http://slimages.macys.com/is/image/MCY/3798041 ")</f>
        <v xml:space="preserve">http://slimages.macys.com/is/image/MCY/3798041 </v>
      </c>
    </row>
    <row r="103" spans="1:13" ht="15.2" customHeight="1" x14ac:dyDescent="0.2">
      <c r="A103" s="6" t="s">
        <v>866</v>
      </c>
      <c r="B103" s="7" t="s">
        <v>867</v>
      </c>
      <c r="C103" s="8">
        <v>1</v>
      </c>
      <c r="D103" s="9">
        <v>11</v>
      </c>
      <c r="E103" s="9">
        <v>11</v>
      </c>
      <c r="F103" s="10">
        <v>39</v>
      </c>
      <c r="G103" s="9">
        <v>39</v>
      </c>
      <c r="H103" s="8" t="s">
        <v>868</v>
      </c>
      <c r="I103" s="7" t="s">
        <v>3252</v>
      </c>
      <c r="J103" s="11" t="s">
        <v>3202</v>
      </c>
      <c r="K103" s="7" t="s">
        <v>3295</v>
      </c>
      <c r="L103" s="7" t="s">
        <v>3296</v>
      </c>
      <c r="M103" s="12" t="str">
        <f>HYPERLINK("http://slimages.macys.com/is/image/MCY/3718912 ")</f>
        <v xml:space="preserve">http://slimages.macys.com/is/image/MCY/3718912 </v>
      </c>
    </row>
    <row r="104" spans="1:13" ht="15.2" customHeight="1" x14ac:dyDescent="0.2">
      <c r="A104" s="6" t="s">
        <v>869</v>
      </c>
      <c r="B104" s="7" t="s">
        <v>870</v>
      </c>
      <c r="C104" s="8">
        <v>1</v>
      </c>
      <c r="D104" s="9">
        <v>11</v>
      </c>
      <c r="E104" s="9">
        <v>11</v>
      </c>
      <c r="F104" s="10">
        <v>39</v>
      </c>
      <c r="G104" s="9">
        <v>39</v>
      </c>
      <c r="H104" s="8" t="s">
        <v>871</v>
      </c>
      <c r="I104" s="7" t="s">
        <v>3185</v>
      </c>
      <c r="J104" s="11" t="s">
        <v>3240</v>
      </c>
      <c r="K104" s="7" t="s">
        <v>3295</v>
      </c>
      <c r="L104" s="7" t="s">
        <v>3296</v>
      </c>
      <c r="M104" s="12" t="str">
        <f>HYPERLINK("http://slimages.macys.com/is/image/MCY/3899512 ")</f>
        <v xml:space="preserve">http://slimages.macys.com/is/image/MCY/3899512 </v>
      </c>
    </row>
    <row r="105" spans="1:13" ht="15.2" customHeight="1" x14ac:dyDescent="0.2">
      <c r="A105" s="6" t="s">
        <v>872</v>
      </c>
      <c r="B105" s="7" t="s">
        <v>873</v>
      </c>
      <c r="C105" s="8">
        <v>1</v>
      </c>
      <c r="D105" s="9">
        <v>11</v>
      </c>
      <c r="E105" s="9">
        <v>11</v>
      </c>
      <c r="F105" s="10">
        <v>27.99</v>
      </c>
      <c r="G105" s="9">
        <v>27.99</v>
      </c>
      <c r="H105" s="8" t="s">
        <v>4086</v>
      </c>
      <c r="I105" s="7" t="s">
        <v>3216</v>
      </c>
      <c r="J105" s="11" t="s">
        <v>3220</v>
      </c>
      <c r="K105" s="7" t="s">
        <v>3343</v>
      </c>
      <c r="L105" s="7" t="s">
        <v>3367</v>
      </c>
      <c r="M105" s="12" t="str">
        <f>HYPERLINK("http://slimages.macys.com/is/image/MCY/3798041 ")</f>
        <v xml:space="preserve">http://slimages.macys.com/is/image/MCY/3798041 </v>
      </c>
    </row>
    <row r="106" spans="1:13" ht="15.2" customHeight="1" x14ac:dyDescent="0.2">
      <c r="A106" s="6" t="s">
        <v>874</v>
      </c>
      <c r="B106" s="7" t="s">
        <v>875</v>
      </c>
      <c r="C106" s="8">
        <v>1</v>
      </c>
      <c r="D106" s="9">
        <v>10.85</v>
      </c>
      <c r="E106" s="9">
        <v>10.85</v>
      </c>
      <c r="F106" s="10">
        <v>27.99</v>
      </c>
      <c r="G106" s="9">
        <v>27.99</v>
      </c>
      <c r="H106" s="8" t="s">
        <v>3912</v>
      </c>
      <c r="I106" s="7" t="s">
        <v>3207</v>
      </c>
      <c r="J106" s="11" t="s">
        <v>3231</v>
      </c>
      <c r="K106" s="7" t="s">
        <v>3343</v>
      </c>
      <c r="L106" s="7" t="s">
        <v>3324</v>
      </c>
      <c r="M106" s="12" t="str">
        <f>HYPERLINK("http://slimages.macys.com/is/image/MCY/3777915 ")</f>
        <v xml:space="preserve">http://slimages.macys.com/is/image/MCY/3777915 </v>
      </c>
    </row>
    <row r="107" spans="1:13" ht="15.2" customHeight="1" x14ac:dyDescent="0.2">
      <c r="A107" s="6" t="s">
        <v>876</v>
      </c>
      <c r="B107" s="7" t="s">
        <v>877</v>
      </c>
      <c r="C107" s="8">
        <v>1</v>
      </c>
      <c r="D107" s="9">
        <v>10.85</v>
      </c>
      <c r="E107" s="9">
        <v>10.85</v>
      </c>
      <c r="F107" s="10">
        <v>27.99</v>
      </c>
      <c r="G107" s="9">
        <v>27.99</v>
      </c>
      <c r="H107" s="8" t="s">
        <v>878</v>
      </c>
      <c r="I107" s="7" t="s">
        <v>3321</v>
      </c>
      <c r="J107" s="11" t="s">
        <v>3231</v>
      </c>
      <c r="K107" s="7" t="s">
        <v>3343</v>
      </c>
      <c r="L107" s="7" t="s">
        <v>3324</v>
      </c>
      <c r="M107" s="12" t="str">
        <f>HYPERLINK("http://slimages.macys.com/is/image/MCY/3777906 ")</f>
        <v xml:space="preserve">http://slimages.macys.com/is/image/MCY/3777906 </v>
      </c>
    </row>
    <row r="108" spans="1:13" ht="15.2" customHeight="1" x14ac:dyDescent="0.2">
      <c r="A108" s="6" t="s">
        <v>879</v>
      </c>
      <c r="B108" s="7" t="s">
        <v>880</v>
      </c>
      <c r="C108" s="8">
        <v>1</v>
      </c>
      <c r="D108" s="9">
        <v>10.77</v>
      </c>
      <c r="E108" s="9">
        <v>10.77</v>
      </c>
      <c r="F108" s="10">
        <v>29.5</v>
      </c>
      <c r="G108" s="9">
        <v>29.5</v>
      </c>
      <c r="H108" s="8" t="s">
        <v>881</v>
      </c>
      <c r="I108" s="7" t="s">
        <v>3203</v>
      </c>
      <c r="J108" s="11" t="s">
        <v>3231</v>
      </c>
      <c r="K108" s="7" t="s">
        <v>3221</v>
      </c>
      <c r="L108" s="7" t="s">
        <v>3230</v>
      </c>
      <c r="M108" s="12" t="str">
        <f>HYPERLINK("http://slimages.macys.com/is/image/MCY/3918885 ")</f>
        <v xml:space="preserve">http://slimages.macys.com/is/image/MCY/3918885 </v>
      </c>
    </row>
    <row r="109" spans="1:13" ht="15.2" customHeight="1" x14ac:dyDescent="0.2">
      <c r="A109" s="6" t="s">
        <v>1797</v>
      </c>
      <c r="B109" s="7" t="s">
        <v>1798</v>
      </c>
      <c r="C109" s="8">
        <v>1</v>
      </c>
      <c r="D109" s="9">
        <v>10.5</v>
      </c>
      <c r="E109" s="9">
        <v>10.5</v>
      </c>
      <c r="F109" s="10">
        <v>24.99</v>
      </c>
      <c r="G109" s="9">
        <v>24.99</v>
      </c>
      <c r="H109" s="8" t="s">
        <v>3370</v>
      </c>
      <c r="I109" s="7" t="s">
        <v>3216</v>
      </c>
      <c r="J109" s="11" t="s">
        <v>3186</v>
      </c>
      <c r="K109" s="7" t="s">
        <v>3343</v>
      </c>
      <c r="L109" s="7" t="s">
        <v>3371</v>
      </c>
      <c r="M109" s="12" t="str">
        <f>HYPERLINK("http://slimages.macys.com/is/image/MCY/3832935 ")</f>
        <v xml:space="preserve">http://slimages.macys.com/is/image/MCY/3832935 </v>
      </c>
    </row>
    <row r="110" spans="1:13" ht="15.2" customHeight="1" x14ac:dyDescent="0.2">
      <c r="A110" s="6" t="s">
        <v>882</v>
      </c>
      <c r="B110" s="7" t="s">
        <v>883</v>
      </c>
      <c r="C110" s="8">
        <v>1</v>
      </c>
      <c r="D110" s="9">
        <v>10.5</v>
      </c>
      <c r="E110" s="9">
        <v>10.5</v>
      </c>
      <c r="F110" s="10">
        <v>24.99</v>
      </c>
      <c r="G110" s="9">
        <v>24.99</v>
      </c>
      <c r="H110" s="8" t="s">
        <v>3370</v>
      </c>
      <c r="I110" s="7" t="s">
        <v>3321</v>
      </c>
      <c r="J110" s="11" t="s">
        <v>3220</v>
      </c>
      <c r="K110" s="7" t="s">
        <v>3343</v>
      </c>
      <c r="L110" s="7" t="s">
        <v>3371</v>
      </c>
      <c r="M110" s="12" t="str">
        <f>HYPERLINK("http://slimages.macys.com/is/image/MCY/3832929 ")</f>
        <v xml:space="preserve">http://slimages.macys.com/is/image/MCY/3832929 </v>
      </c>
    </row>
    <row r="111" spans="1:13" ht="15.2" customHeight="1" x14ac:dyDescent="0.2">
      <c r="A111" s="6" t="s">
        <v>2716</v>
      </c>
      <c r="B111" s="7" t="s">
        <v>2717</v>
      </c>
      <c r="C111" s="8">
        <v>1</v>
      </c>
      <c r="D111" s="9">
        <v>10.5</v>
      </c>
      <c r="E111" s="9">
        <v>10.5</v>
      </c>
      <c r="F111" s="10">
        <v>27.99</v>
      </c>
      <c r="G111" s="9">
        <v>27.99</v>
      </c>
      <c r="H111" s="8" t="s">
        <v>3711</v>
      </c>
      <c r="I111" s="7" t="s">
        <v>3321</v>
      </c>
      <c r="J111" s="11" t="s">
        <v>3220</v>
      </c>
      <c r="K111" s="7" t="s">
        <v>3343</v>
      </c>
      <c r="L111" s="7" t="s">
        <v>3356</v>
      </c>
      <c r="M111" s="12" t="str">
        <f>HYPERLINK("http://slimages.macys.com/is/image/MCY/3910853 ")</f>
        <v xml:space="preserve">http://slimages.macys.com/is/image/MCY/3910853 </v>
      </c>
    </row>
    <row r="112" spans="1:13" ht="15.2" customHeight="1" x14ac:dyDescent="0.2">
      <c r="A112" s="6" t="s">
        <v>3916</v>
      </c>
      <c r="B112" s="7" t="s">
        <v>3917</v>
      </c>
      <c r="C112" s="8">
        <v>1</v>
      </c>
      <c r="D112" s="9">
        <v>10.5</v>
      </c>
      <c r="E112" s="9">
        <v>10.5</v>
      </c>
      <c r="F112" s="10">
        <v>24.99</v>
      </c>
      <c r="G112" s="9">
        <v>24.99</v>
      </c>
      <c r="H112" s="8" t="s">
        <v>3370</v>
      </c>
      <c r="I112" s="7" t="s">
        <v>3216</v>
      </c>
      <c r="J112" s="11" t="s">
        <v>3202</v>
      </c>
      <c r="K112" s="7" t="s">
        <v>3343</v>
      </c>
      <c r="L112" s="7" t="s">
        <v>3371</v>
      </c>
      <c r="M112" s="12" t="str">
        <f>HYPERLINK("http://slimages.macys.com/is/image/MCY/3832935 ")</f>
        <v xml:space="preserve">http://slimages.macys.com/is/image/MCY/3832935 </v>
      </c>
    </row>
    <row r="113" spans="1:13" ht="15.2" customHeight="1" x14ac:dyDescent="0.2">
      <c r="A113" s="6" t="s">
        <v>1229</v>
      </c>
      <c r="B113" s="7" t="s">
        <v>1230</v>
      </c>
      <c r="C113" s="8">
        <v>1</v>
      </c>
      <c r="D113" s="9">
        <v>10.5</v>
      </c>
      <c r="E113" s="9">
        <v>10.5</v>
      </c>
      <c r="F113" s="10">
        <v>25.99</v>
      </c>
      <c r="G113" s="9">
        <v>25.99</v>
      </c>
      <c r="H113" s="8" t="s">
        <v>3920</v>
      </c>
      <c r="I113" s="7" t="s">
        <v>3257</v>
      </c>
      <c r="J113" s="11" t="s">
        <v>3336</v>
      </c>
      <c r="K113" s="7" t="s">
        <v>3326</v>
      </c>
      <c r="L113" s="7" t="s">
        <v>3282</v>
      </c>
      <c r="M113" s="12" t="str">
        <f>HYPERLINK("http://slimages.macys.com/is/image/MCY/3773860 ")</f>
        <v xml:space="preserve">http://slimages.macys.com/is/image/MCY/3773860 </v>
      </c>
    </row>
    <row r="114" spans="1:13" ht="15.2" customHeight="1" x14ac:dyDescent="0.2">
      <c r="A114" s="6" t="s">
        <v>2712</v>
      </c>
      <c r="B114" s="7" t="s">
        <v>2713</v>
      </c>
      <c r="C114" s="8">
        <v>1</v>
      </c>
      <c r="D114" s="9">
        <v>10.5</v>
      </c>
      <c r="E114" s="9">
        <v>10.5</v>
      </c>
      <c r="F114" s="10">
        <v>27.99</v>
      </c>
      <c r="G114" s="9">
        <v>27.99</v>
      </c>
      <c r="H114" s="8" t="s">
        <v>3711</v>
      </c>
      <c r="I114" s="7" t="s">
        <v>3321</v>
      </c>
      <c r="J114" s="11" t="s">
        <v>3220</v>
      </c>
      <c r="K114" s="7" t="s">
        <v>3343</v>
      </c>
      <c r="L114" s="7" t="s">
        <v>3356</v>
      </c>
      <c r="M114" s="12" t="str">
        <f>HYPERLINK("http://slimages.macys.com/is/image/MCY/3910858 ")</f>
        <v xml:space="preserve">http://slimages.macys.com/is/image/MCY/3910858 </v>
      </c>
    </row>
    <row r="115" spans="1:13" ht="15.2" customHeight="1" x14ac:dyDescent="0.2">
      <c r="A115" s="6" t="s">
        <v>3927</v>
      </c>
      <c r="B115" s="7" t="s">
        <v>3928</v>
      </c>
      <c r="C115" s="8">
        <v>1</v>
      </c>
      <c r="D115" s="9">
        <v>10.49</v>
      </c>
      <c r="E115" s="9">
        <v>10.49</v>
      </c>
      <c r="F115" s="10">
        <v>29.5</v>
      </c>
      <c r="G115" s="9">
        <v>29.5</v>
      </c>
      <c r="H115" s="8" t="s">
        <v>3372</v>
      </c>
      <c r="I115" s="7" t="s">
        <v>3185</v>
      </c>
      <c r="J115" s="11" t="s">
        <v>3186</v>
      </c>
      <c r="K115" s="7" t="s">
        <v>3232</v>
      </c>
      <c r="L115" s="7" t="s">
        <v>3306</v>
      </c>
      <c r="M115" s="12" t="str">
        <f>HYPERLINK("http://slimages.macys.com/is/image/MCY/3789872 ")</f>
        <v xml:space="preserve">http://slimages.macys.com/is/image/MCY/3789872 </v>
      </c>
    </row>
    <row r="116" spans="1:13" ht="15.2" customHeight="1" x14ac:dyDescent="0.2">
      <c r="A116" s="6" t="s">
        <v>2053</v>
      </c>
      <c r="B116" s="7" t="s">
        <v>2054</v>
      </c>
      <c r="C116" s="8">
        <v>1</v>
      </c>
      <c r="D116" s="9">
        <v>10.49</v>
      </c>
      <c r="E116" s="9">
        <v>10.49</v>
      </c>
      <c r="F116" s="10">
        <v>29.5</v>
      </c>
      <c r="G116" s="9">
        <v>29.5</v>
      </c>
      <c r="H116" s="8" t="s">
        <v>3372</v>
      </c>
      <c r="I116" s="7" t="s">
        <v>3185</v>
      </c>
      <c r="J116" s="11" t="s">
        <v>3310</v>
      </c>
      <c r="K116" s="7" t="s">
        <v>3232</v>
      </c>
      <c r="L116" s="7" t="s">
        <v>3306</v>
      </c>
      <c r="M116" s="12" t="str">
        <f>HYPERLINK("http://slimages.macys.com/is/image/MCY/3789872 ")</f>
        <v xml:space="preserve">http://slimages.macys.com/is/image/MCY/3789872 </v>
      </c>
    </row>
    <row r="117" spans="1:13" ht="15.2" customHeight="1" x14ac:dyDescent="0.2">
      <c r="A117" s="6" t="s">
        <v>1608</v>
      </c>
      <c r="B117" s="7" t="s">
        <v>1609</v>
      </c>
      <c r="C117" s="8">
        <v>1</v>
      </c>
      <c r="D117" s="9">
        <v>10.49</v>
      </c>
      <c r="E117" s="9">
        <v>10.49</v>
      </c>
      <c r="F117" s="10">
        <v>29.5</v>
      </c>
      <c r="G117" s="9">
        <v>29.5</v>
      </c>
      <c r="H117" s="8" t="s">
        <v>3372</v>
      </c>
      <c r="I117" s="7" t="s">
        <v>3185</v>
      </c>
      <c r="J117" s="11" t="s">
        <v>3242</v>
      </c>
      <c r="K117" s="7" t="s">
        <v>3232</v>
      </c>
      <c r="L117" s="7" t="s">
        <v>3306</v>
      </c>
      <c r="M117" s="12" t="str">
        <f>HYPERLINK("http://slimages.macys.com/is/image/MCY/3789872 ")</f>
        <v xml:space="preserve">http://slimages.macys.com/is/image/MCY/3789872 </v>
      </c>
    </row>
    <row r="118" spans="1:13" ht="15.2" customHeight="1" x14ac:dyDescent="0.2">
      <c r="A118" s="6" t="s">
        <v>2722</v>
      </c>
      <c r="B118" s="7" t="s">
        <v>2723</v>
      </c>
      <c r="C118" s="8">
        <v>1</v>
      </c>
      <c r="D118" s="9">
        <v>10</v>
      </c>
      <c r="E118" s="9">
        <v>10</v>
      </c>
      <c r="F118" s="10">
        <v>24.99</v>
      </c>
      <c r="G118" s="9">
        <v>24.99</v>
      </c>
      <c r="H118" s="8" t="s">
        <v>3380</v>
      </c>
      <c r="I118" s="7" t="s">
        <v>3382</v>
      </c>
      <c r="J118" s="11" t="s">
        <v>3186</v>
      </c>
      <c r="K118" s="7" t="s">
        <v>3343</v>
      </c>
      <c r="L118" s="7" t="s">
        <v>3371</v>
      </c>
      <c r="M118" s="12" t="str">
        <f>HYPERLINK("http://slimages.macys.com/is/image/MCY/3931167 ")</f>
        <v xml:space="preserve">http://slimages.macys.com/is/image/MCY/3931167 </v>
      </c>
    </row>
    <row r="119" spans="1:13" ht="15.2" customHeight="1" x14ac:dyDescent="0.2">
      <c r="A119" s="6" t="s">
        <v>325</v>
      </c>
      <c r="B119" s="7" t="s">
        <v>326</v>
      </c>
      <c r="C119" s="8">
        <v>1</v>
      </c>
      <c r="D119" s="9">
        <v>10</v>
      </c>
      <c r="E119" s="9">
        <v>10</v>
      </c>
      <c r="F119" s="10">
        <v>39</v>
      </c>
      <c r="G119" s="9">
        <v>39</v>
      </c>
      <c r="H119" s="8" t="s">
        <v>327</v>
      </c>
      <c r="I119" s="7" t="s">
        <v>3185</v>
      </c>
      <c r="J119" s="11" t="s">
        <v>3347</v>
      </c>
      <c r="K119" s="7" t="s">
        <v>3295</v>
      </c>
      <c r="L119" s="7" t="s">
        <v>3296</v>
      </c>
      <c r="M119" s="12" t="str">
        <f>HYPERLINK("http://slimages.macys.com/is/image/MCY/3667611 ")</f>
        <v xml:space="preserve">http://slimages.macys.com/is/image/MCY/3667611 </v>
      </c>
    </row>
    <row r="120" spans="1:13" ht="15.2" customHeight="1" x14ac:dyDescent="0.2">
      <c r="A120" s="6" t="s">
        <v>1713</v>
      </c>
      <c r="B120" s="7" t="s">
        <v>1714</v>
      </c>
      <c r="C120" s="8">
        <v>1</v>
      </c>
      <c r="D120" s="9">
        <v>10</v>
      </c>
      <c r="E120" s="9">
        <v>10</v>
      </c>
      <c r="F120" s="10">
        <v>39</v>
      </c>
      <c r="G120" s="9">
        <v>39</v>
      </c>
      <c r="H120" s="8" t="s">
        <v>1715</v>
      </c>
      <c r="I120" s="7" t="s">
        <v>3185</v>
      </c>
      <c r="J120" s="11" t="s">
        <v>3351</v>
      </c>
      <c r="K120" s="7" t="s">
        <v>3295</v>
      </c>
      <c r="L120" s="7" t="s">
        <v>3296</v>
      </c>
      <c r="M120" s="12" t="str">
        <f>HYPERLINK("http://slimages.macys.com/is/image/MCY/3667530 ")</f>
        <v xml:space="preserve">http://slimages.macys.com/is/image/MCY/3667530 </v>
      </c>
    </row>
    <row r="121" spans="1:13" ht="15.2" customHeight="1" x14ac:dyDescent="0.2">
      <c r="A121" s="6" t="s">
        <v>884</v>
      </c>
      <c r="B121" s="7" t="s">
        <v>885</v>
      </c>
      <c r="C121" s="8">
        <v>1</v>
      </c>
      <c r="D121" s="9">
        <v>10</v>
      </c>
      <c r="E121" s="9">
        <v>10</v>
      </c>
      <c r="F121" s="10">
        <v>22.99</v>
      </c>
      <c r="G121" s="9">
        <v>22.99</v>
      </c>
      <c r="H121" s="8" t="s">
        <v>2387</v>
      </c>
      <c r="I121" s="7" t="s">
        <v>3201</v>
      </c>
      <c r="J121" s="11" t="s">
        <v>3231</v>
      </c>
      <c r="K121" s="7" t="s">
        <v>3334</v>
      </c>
      <c r="L121" s="7" t="s">
        <v>3324</v>
      </c>
      <c r="M121" s="12" t="str">
        <f>HYPERLINK("http://slimages.macys.com/is/image/MCY/3687920 ")</f>
        <v xml:space="preserve">http://slimages.macys.com/is/image/MCY/3687920 </v>
      </c>
    </row>
    <row r="122" spans="1:13" ht="15.2" customHeight="1" x14ac:dyDescent="0.2">
      <c r="A122" s="6" t="s">
        <v>886</v>
      </c>
      <c r="B122" s="7" t="s">
        <v>887</v>
      </c>
      <c r="C122" s="8">
        <v>1</v>
      </c>
      <c r="D122" s="9">
        <v>9.75</v>
      </c>
      <c r="E122" s="9">
        <v>9.75</v>
      </c>
      <c r="F122" s="10">
        <v>22.99</v>
      </c>
      <c r="G122" s="9">
        <v>22.99</v>
      </c>
      <c r="H122" s="8" t="s">
        <v>3716</v>
      </c>
      <c r="I122" s="7" t="s">
        <v>3182</v>
      </c>
      <c r="J122" s="11" t="s">
        <v>3242</v>
      </c>
      <c r="K122" s="7" t="s">
        <v>3326</v>
      </c>
      <c r="L122" s="7" t="s">
        <v>3356</v>
      </c>
      <c r="M122" s="12" t="str">
        <f>HYPERLINK("http://slimages.macys.com/is/image/MCY/3954002 ")</f>
        <v xml:space="preserve">http://slimages.macys.com/is/image/MCY/3954002 </v>
      </c>
    </row>
    <row r="123" spans="1:13" ht="15.2" customHeight="1" x14ac:dyDescent="0.2">
      <c r="A123" s="6" t="s">
        <v>888</v>
      </c>
      <c r="B123" s="7" t="s">
        <v>889</v>
      </c>
      <c r="C123" s="8">
        <v>1</v>
      </c>
      <c r="D123" s="9">
        <v>9.5</v>
      </c>
      <c r="E123" s="9">
        <v>9.5</v>
      </c>
      <c r="F123" s="10">
        <v>24.99</v>
      </c>
      <c r="G123" s="9">
        <v>24.99</v>
      </c>
      <c r="H123" s="8" t="s">
        <v>3389</v>
      </c>
      <c r="I123" s="7" t="s">
        <v>3257</v>
      </c>
      <c r="J123" s="11" t="s">
        <v>3186</v>
      </c>
      <c r="K123" s="7" t="s">
        <v>3343</v>
      </c>
      <c r="L123" s="7" t="s">
        <v>3356</v>
      </c>
      <c r="M123" s="12" t="str">
        <f>HYPERLINK("http://slimages.macys.com/is/image/MCY/3734881 ")</f>
        <v xml:space="preserve">http://slimages.macys.com/is/image/MCY/3734881 </v>
      </c>
    </row>
    <row r="124" spans="1:13" ht="15.2" customHeight="1" x14ac:dyDescent="0.2">
      <c r="A124" s="6" t="s">
        <v>890</v>
      </c>
      <c r="B124" s="7" t="s">
        <v>891</v>
      </c>
      <c r="C124" s="8">
        <v>1</v>
      </c>
      <c r="D124" s="9">
        <v>9.24</v>
      </c>
      <c r="E124" s="9">
        <v>9.24</v>
      </c>
      <c r="F124" s="10">
        <v>21.99</v>
      </c>
      <c r="G124" s="9">
        <v>21.99</v>
      </c>
      <c r="H124" s="8" t="s">
        <v>341</v>
      </c>
      <c r="I124" s="7" t="s">
        <v>3185</v>
      </c>
      <c r="J124" s="11" t="s">
        <v>3236</v>
      </c>
      <c r="K124" s="7" t="s">
        <v>3300</v>
      </c>
      <c r="L124" s="7" t="s">
        <v>3301</v>
      </c>
      <c r="M124" s="12" t="str">
        <f>HYPERLINK("http://slimages.macys.com/is/image/MCY/3813783 ")</f>
        <v xml:space="preserve">http://slimages.macys.com/is/image/MCY/3813783 </v>
      </c>
    </row>
    <row r="125" spans="1:13" ht="15.2" customHeight="1" x14ac:dyDescent="0.2">
      <c r="A125" s="6" t="s">
        <v>4277</v>
      </c>
      <c r="B125" s="7" t="s">
        <v>4278</v>
      </c>
      <c r="C125" s="8">
        <v>2</v>
      </c>
      <c r="D125" s="9">
        <v>9.2200000000000006</v>
      </c>
      <c r="E125" s="9">
        <v>18.440000000000001</v>
      </c>
      <c r="F125" s="10">
        <v>21.99</v>
      </c>
      <c r="G125" s="9">
        <v>43.98</v>
      </c>
      <c r="H125" s="8" t="s">
        <v>3395</v>
      </c>
      <c r="I125" s="7" t="s">
        <v>3185</v>
      </c>
      <c r="J125" s="11" t="s">
        <v>3236</v>
      </c>
      <c r="K125" s="7" t="s">
        <v>3300</v>
      </c>
      <c r="L125" s="7" t="s">
        <v>3301</v>
      </c>
      <c r="M125" s="12" t="str">
        <f>HYPERLINK("http://slimages.macys.com/is/image/MCY/3857709 ")</f>
        <v xml:space="preserve">http://slimages.macys.com/is/image/MCY/3857709 </v>
      </c>
    </row>
    <row r="126" spans="1:13" ht="15.2" customHeight="1" x14ac:dyDescent="0.2">
      <c r="A126" s="6" t="s">
        <v>4095</v>
      </c>
      <c r="B126" s="7" t="s">
        <v>4096</v>
      </c>
      <c r="C126" s="8">
        <v>2</v>
      </c>
      <c r="D126" s="9">
        <v>9.2200000000000006</v>
      </c>
      <c r="E126" s="9">
        <v>18.440000000000001</v>
      </c>
      <c r="F126" s="10">
        <v>21.99</v>
      </c>
      <c r="G126" s="9">
        <v>43.98</v>
      </c>
      <c r="H126" s="8" t="s">
        <v>3397</v>
      </c>
      <c r="I126" s="7" t="s">
        <v>3216</v>
      </c>
      <c r="J126" s="11" t="s">
        <v>3186</v>
      </c>
      <c r="K126" s="7" t="s">
        <v>3300</v>
      </c>
      <c r="L126" s="7" t="s">
        <v>3301</v>
      </c>
      <c r="M126" s="12" t="str">
        <f>HYPERLINK("http://slimages.macys.com/is/image/MCY/3857710 ")</f>
        <v xml:space="preserve">http://slimages.macys.com/is/image/MCY/3857710 </v>
      </c>
    </row>
    <row r="127" spans="1:13" ht="15.2" customHeight="1" x14ac:dyDescent="0.2">
      <c r="A127" s="6" t="s">
        <v>2741</v>
      </c>
      <c r="B127" s="7" t="s">
        <v>2742</v>
      </c>
      <c r="C127" s="8">
        <v>2</v>
      </c>
      <c r="D127" s="9">
        <v>9.2200000000000006</v>
      </c>
      <c r="E127" s="9">
        <v>18.440000000000001</v>
      </c>
      <c r="F127" s="10">
        <v>21.99</v>
      </c>
      <c r="G127" s="9">
        <v>43.98</v>
      </c>
      <c r="H127" s="8" t="s">
        <v>3397</v>
      </c>
      <c r="I127" s="7" t="s">
        <v>3216</v>
      </c>
      <c r="J127" s="11" t="s">
        <v>3231</v>
      </c>
      <c r="K127" s="7" t="s">
        <v>3300</v>
      </c>
      <c r="L127" s="7" t="s">
        <v>3301</v>
      </c>
      <c r="M127" s="12" t="str">
        <f>HYPERLINK("http://slimages.macys.com/is/image/MCY/3857710 ")</f>
        <v xml:space="preserve">http://slimages.macys.com/is/image/MCY/3857710 </v>
      </c>
    </row>
    <row r="128" spans="1:13" ht="15.2" customHeight="1" x14ac:dyDescent="0.2">
      <c r="A128" s="6" t="s">
        <v>4097</v>
      </c>
      <c r="B128" s="7" t="s">
        <v>4098</v>
      </c>
      <c r="C128" s="8">
        <v>3</v>
      </c>
      <c r="D128" s="9">
        <v>9.2200000000000006</v>
      </c>
      <c r="E128" s="9">
        <v>27.66</v>
      </c>
      <c r="F128" s="10">
        <v>21.99</v>
      </c>
      <c r="G128" s="9">
        <v>65.97</v>
      </c>
      <c r="H128" s="8" t="s">
        <v>3395</v>
      </c>
      <c r="I128" s="7" t="s">
        <v>3185</v>
      </c>
      <c r="J128" s="11" t="s">
        <v>3202</v>
      </c>
      <c r="K128" s="7" t="s">
        <v>3300</v>
      </c>
      <c r="L128" s="7" t="s">
        <v>3301</v>
      </c>
      <c r="M128" s="12" t="str">
        <f>HYPERLINK("http://slimages.macys.com/is/image/MCY/3857709 ")</f>
        <v xml:space="preserve">http://slimages.macys.com/is/image/MCY/3857709 </v>
      </c>
    </row>
    <row r="129" spans="1:13" ht="15.2" customHeight="1" x14ac:dyDescent="0.2">
      <c r="A129" s="6" t="s">
        <v>3935</v>
      </c>
      <c r="B129" s="7" t="s">
        <v>3936</v>
      </c>
      <c r="C129" s="8">
        <v>1</v>
      </c>
      <c r="D129" s="9">
        <v>9.2200000000000006</v>
      </c>
      <c r="E129" s="9">
        <v>9.2200000000000006</v>
      </c>
      <c r="F129" s="10">
        <v>21.99</v>
      </c>
      <c r="G129" s="9">
        <v>21.99</v>
      </c>
      <c r="H129" s="8" t="s">
        <v>3937</v>
      </c>
      <c r="I129" s="7" t="s">
        <v>3185</v>
      </c>
      <c r="J129" s="11" t="s">
        <v>3231</v>
      </c>
      <c r="K129" s="7" t="s">
        <v>3300</v>
      </c>
      <c r="L129" s="7" t="s">
        <v>3301</v>
      </c>
      <c r="M129" s="12" t="str">
        <f>HYPERLINK("http://slimages.macys.com/is/image/MCY/3870610 ")</f>
        <v xml:space="preserve">http://slimages.macys.com/is/image/MCY/3870610 </v>
      </c>
    </row>
    <row r="130" spans="1:13" ht="15.2" customHeight="1" x14ac:dyDescent="0.2">
      <c r="A130" s="6" t="s">
        <v>3933</v>
      </c>
      <c r="B130" s="7" t="s">
        <v>3934</v>
      </c>
      <c r="C130" s="8">
        <v>8</v>
      </c>
      <c r="D130" s="9">
        <v>9.2200000000000006</v>
      </c>
      <c r="E130" s="9">
        <v>73.760000000000005</v>
      </c>
      <c r="F130" s="10">
        <v>21.99</v>
      </c>
      <c r="G130" s="9">
        <v>175.92</v>
      </c>
      <c r="H130" s="8" t="s">
        <v>3395</v>
      </c>
      <c r="I130" s="7" t="s">
        <v>3185</v>
      </c>
      <c r="J130" s="11" t="s">
        <v>3186</v>
      </c>
      <c r="K130" s="7" t="s">
        <v>3300</v>
      </c>
      <c r="L130" s="7" t="s">
        <v>3301</v>
      </c>
      <c r="M130" s="12" t="str">
        <f>HYPERLINK("http://slimages.macys.com/is/image/MCY/3857709 ")</f>
        <v xml:space="preserve">http://slimages.macys.com/is/image/MCY/3857709 </v>
      </c>
    </row>
    <row r="131" spans="1:13" ht="15.2" customHeight="1" x14ac:dyDescent="0.2">
      <c r="A131" s="6" t="s">
        <v>4088</v>
      </c>
      <c r="B131" s="7" t="s">
        <v>4089</v>
      </c>
      <c r="C131" s="8">
        <v>1</v>
      </c>
      <c r="D131" s="9">
        <v>9.2200000000000006</v>
      </c>
      <c r="E131" s="9">
        <v>9.2200000000000006</v>
      </c>
      <c r="F131" s="10">
        <v>21.99</v>
      </c>
      <c r="G131" s="9">
        <v>21.99</v>
      </c>
      <c r="H131" s="8" t="s">
        <v>4090</v>
      </c>
      <c r="I131" s="7" t="s">
        <v>3216</v>
      </c>
      <c r="J131" s="11" t="s">
        <v>3236</v>
      </c>
      <c r="K131" s="7" t="s">
        <v>3300</v>
      </c>
      <c r="L131" s="7" t="s">
        <v>3301</v>
      </c>
      <c r="M131" s="12" t="str">
        <f>HYPERLINK("http://slimages.macys.com/is/image/MCY/3857708 ")</f>
        <v xml:space="preserve">http://slimages.macys.com/is/image/MCY/3857708 </v>
      </c>
    </row>
    <row r="132" spans="1:13" ht="15.2" customHeight="1" x14ac:dyDescent="0.2">
      <c r="A132" s="6" t="s">
        <v>892</v>
      </c>
      <c r="B132" s="7" t="s">
        <v>893</v>
      </c>
      <c r="C132" s="8">
        <v>1</v>
      </c>
      <c r="D132" s="9">
        <v>9.2200000000000006</v>
      </c>
      <c r="E132" s="9">
        <v>9.2200000000000006</v>
      </c>
      <c r="F132" s="10">
        <v>21.99</v>
      </c>
      <c r="G132" s="9">
        <v>21.99</v>
      </c>
      <c r="H132" s="8" t="s">
        <v>3937</v>
      </c>
      <c r="I132" s="7" t="s">
        <v>3185</v>
      </c>
      <c r="J132" s="11" t="s">
        <v>3236</v>
      </c>
      <c r="K132" s="7" t="s">
        <v>3300</v>
      </c>
      <c r="L132" s="7" t="s">
        <v>3301</v>
      </c>
      <c r="M132" s="12" t="str">
        <f>HYPERLINK("http://slimages.macys.com/is/image/MCY/3870610 ")</f>
        <v xml:space="preserve">http://slimages.macys.com/is/image/MCY/3870610 </v>
      </c>
    </row>
    <row r="133" spans="1:13" ht="15.2" customHeight="1" x14ac:dyDescent="0.2">
      <c r="A133" s="6" t="s">
        <v>3938</v>
      </c>
      <c r="B133" s="7" t="s">
        <v>3939</v>
      </c>
      <c r="C133" s="8">
        <v>3</v>
      </c>
      <c r="D133" s="9">
        <v>9.1999999999999993</v>
      </c>
      <c r="E133" s="9">
        <v>27.6</v>
      </c>
      <c r="F133" s="10">
        <v>21.99</v>
      </c>
      <c r="G133" s="9">
        <v>65.97</v>
      </c>
      <c r="H133" s="8" t="s">
        <v>3723</v>
      </c>
      <c r="I133" s="7" t="s">
        <v>3185</v>
      </c>
      <c r="J133" s="11" t="s">
        <v>3202</v>
      </c>
      <c r="K133" s="7" t="s">
        <v>3300</v>
      </c>
      <c r="L133" s="7" t="s">
        <v>3301</v>
      </c>
      <c r="M133" s="12" t="str">
        <f>HYPERLINK("http://slimages.macys.com/is/image/MCY/3857655 ")</f>
        <v xml:space="preserve">http://slimages.macys.com/is/image/MCY/3857655 </v>
      </c>
    </row>
    <row r="134" spans="1:13" ht="15.2" customHeight="1" x14ac:dyDescent="0.2">
      <c r="A134" s="6" t="s">
        <v>1993</v>
      </c>
      <c r="B134" s="7" t="s">
        <v>1994</v>
      </c>
      <c r="C134" s="8">
        <v>1</v>
      </c>
      <c r="D134" s="9">
        <v>9.1999999999999993</v>
      </c>
      <c r="E134" s="9">
        <v>9.1999999999999993</v>
      </c>
      <c r="F134" s="10">
        <v>21.99</v>
      </c>
      <c r="G134" s="9">
        <v>21.99</v>
      </c>
      <c r="H134" s="8" t="s">
        <v>3723</v>
      </c>
      <c r="I134" s="7" t="s">
        <v>3185</v>
      </c>
      <c r="J134" s="11" t="s">
        <v>3231</v>
      </c>
      <c r="K134" s="7" t="s">
        <v>3300</v>
      </c>
      <c r="L134" s="7" t="s">
        <v>3301</v>
      </c>
      <c r="M134" s="12" t="str">
        <f>HYPERLINK("http://slimages.macys.com/is/image/MCY/3857655 ")</f>
        <v xml:space="preserve">http://slimages.macys.com/is/image/MCY/3857655 </v>
      </c>
    </row>
    <row r="135" spans="1:13" ht="15.2" customHeight="1" x14ac:dyDescent="0.2">
      <c r="A135" s="6" t="s">
        <v>3721</v>
      </c>
      <c r="B135" s="7" t="s">
        <v>3722</v>
      </c>
      <c r="C135" s="8">
        <v>1</v>
      </c>
      <c r="D135" s="9">
        <v>9.1999999999999993</v>
      </c>
      <c r="E135" s="9">
        <v>9.1999999999999993</v>
      </c>
      <c r="F135" s="10">
        <v>21.99</v>
      </c>
      <c r="G135" s="9">
        <v>21.99</v>
      </c>
      <c r="H135" s="8" t="s">
        <v>3723</v>
      </c>
      <c r="I135" s="7" t="s">
        <v>3185</v>
      </c>
      <c r="J135" s="11" t="s">
        <v>3186</v>
      </c>
      <c r="K135" s="7" t="s">
        <v>3300</v>
      </c>
      <c r="L135" s="7" t="s">
        <v>3301</v>
      </c>
      <c r="M135" s="12" t="str">
        <f>HYPERLINK("http://slimages.macys.com/is/image/MCY/3857655 ")</f>
        <v xml:space="preserve">http://slimages.macys.com/is/image/MCY/3857655 </v>
      </c>
    </row>
    <row r="136" spans="1:13" ht="15.2" customHeight="1" x14ac:dyDescent="0.2">
      <c r="A136" s="6" t="s">
        <v>4109</v>
      </c>
      <c r="B136" s="7" t="s">
        <v>4110</v>
      </c>
      <c r="C136" s="8">
        <v>1</v>
      </c>
      <c r="D136" s="9">
        <v>9.1</v>
      </c>
      <c r="E136" s="9">
        <v>9.1</v>
      </c>
      <c r="F136" s="10">
        <v>19.989999999999998</v>
      </c>
      <c r="G136" s="9">
        <v>19.989999999999998</v>
      </c>
      <c r="H136" s="8" t="s">
        <v>3401</v>
      </c>
      <c r="I136" s="7" t="s">
        <v>3321</v>
      </c>
      <c r="J136" s="11" t="s">
        <v>3231</v>
      </c>
      <c r="K136" s="7" t="s">
        <v>3343</v>
      </c>
      <c r="L136" s="7" t="s">
        <v>3384</v>
      </c>
      <c r="M136" s="12" t="str">
        <f>HYPERLINK("http://slimages.macys.com/is/image/MCY/3820952 ")</f>
        <v xml:space="preserve">http://slimages.macys.com/is/image/MCY/3820952 </v>
      </c>
    </row>
    <row r="137" spans="1:13" ht="15.2" customHeight="1" x14ac:dyDescent="0.2">
      <c r="A137" s="6" t="s">
        <v>4105</v>
      </c>
      <c r="B137" s="7" t="s">
        <v>4106</v>
      </c>
      <c r="C137" s="8">
        <v>2</v>
      </c>
      <c r="D137" s="9">
        <v>9.1</v>
      </c>
      <c r="E137" s="9">
        <v>18.2</v>
      </c>
      <c r="F137" s="10">
        <v>19.989999999999998</v>
      </c>
      <c r="G137" s="9">
        <v>39.979999999999997</v>
      </c>
      <c r="H137" s="8" t="s">
        <v>3401</v>
      </c>
      <c r="I137" s="7" t="s">
        <v>3321</v>
      </c>
      <c r="J137" s="11" t="s">
        <v>3186</v>
      </c>
      <c r="K137" s="7" t="s">
        <v>3343</v>
      </c>
      <c r="L137" s="7" t="s">
        <v>3384</v>
      </c>
      <c r="M137" s="12" t="str">
        <f>HYPERLINK("http://slimages.macys.com/is/image/MCY/3820952 ")</f>
        <v xml:space="preserve">http://slimages.macys.com/is/image/MCY/3820952 </v>
      </c>
    </row>
    <row r="138" spans="1:13" ht="15.2" customHeight="1" x14ac:dyDescent="0.2">
      <c r="A138" s="6" t="s">
        <v>4107</v>
      </c>
      <c r="B138" s="7" t="s">
        <v>4108</v>
      </c>
      <c r="C138" s="8">
        <v>1</v>
      </c>
      <c r="D138" s="9">
        <v>9.1</v>
      </c>
      <c r="E138" s="9">
        <v>9.1</v>
      </c>
      <c r="F138" s="10">
        <v>19.989999999999998</v>
      </c>
      <c r="G138" s="9">
        <v>19.989999999999998</v>
      </c>
      <c r="H138" s="8" t="s">
        <v>3401</v>
      </c>
      <c r="I138" s="7" t="s">
        <v>3321</v>
      </c>
      <c r="J138" s="11" t="s">
        <v>3220</v>
      </c>
      <c r="K138" s="7" t="s">
        <v>3343</v>
      </c>
      <c r="L138" s="7" t="s">
        <v>3384</v>
      </c>
      <c r="M138" s="12" t="str">
        <f>HYPERLINK("http://slimages.macys.com/is/image/MCY/3821780 ")</f>
        <v xml:space="preserve">http://slimages.macys.com/is/image/MCY/3821780 </v>
      </c>
    </row>
    <row r="139" spans="1:13" ht="15.2" customHeight="1" x14ac:dyDescent="0.2">
      <c r="A139" s="6" t="s">
        <v>4113</v>
      </c>
      <c r="B139" s="7" t="s">
        <v>4114</v>
      </c>
      <c r="C139" s="8">
        <v>1</v>
      </c>
      <c r="D139" s="9">
        <v>9.1</v>
      </c>
      <c r="E139" s="9">
        <v>9.1</v>
      </c>
      <c r="F139" s="10">
        <v>19.989999999999998</v>
      </c>
      <c r="G139" s="9">
        <v>19.989999999999998</v>
      </c>
      <c r="H139" s="8" t="s">
        <v>3401</v>
      </c>
      <c r="I139" s="7" t="s">
        <v>3321</v>
      </c>
      <c r="J139" s="11" t="s">
        <v>3231</v>
      </c>
      <c r="K139" s="7" t="s">
        <v>3343</v>
      </c>
      <c r="L139" s="7" t="s">
        <v>3384</v>
      </c>
      <c r="M139" s="12" t="str">
        <f>HYPERLINK("http://slimages.macys.com/is/image/MCY/3821780 ")</f>
        <v xml:space="preserve">http://slimages.macys.com/is/image/MCY/3821780 </v>
      </c>
    </row>
    <row r="140" spans="1:13" ht="15.2" customHeight="1" x14ac:dyDescent="0.2">
      <c r="A140" s="6" t="s">
        <v>4279</v>
      </c>
      <c r="B140" s="7" t="s">
        <v>4280</v>
      </c>
      <c r="C140" s="8">
        <v>1</v>
      </c>
      <c r="D140" s="9">
        <v>9.1</v>
      </c>
      <c r="E140" s="9">
        <v>9.1</v>
      </c>
      <c r="F140" s="10">
        <v>19.989999999999998</v>
      </c>
      <c r="G140" s="9">
        <v>19.989999999999998</v>
      </c>
      <c r="H140" s="8" t="s">
        <v>3942</v>
      </c>
      <c r="I140" s="7" t="s">
        <v>3339</v>
      </c>
      <c r="J140" s="11" t="s">
        <v>3220</v>
      </c>
      <c r="K140" s="7" t="s">
        <v>3343</v>
      </c>
      <c r="L140" s="7" t="s">
        <v>3384</v>
      </c>
      <c r="M140" s="12" t="str">
        <f>HYPERLINK("http://slimages.macys.com/is/image/MCY/3821784 ")</f>
        <v xml:space="preserve">http://slimages.macys.com/is/image/MCY/3821784 </v>
      </c>
    </row>
    <row r="141" spans="1:13" ht="15.2" customHeight="1" x14ac:dyDescent="0.2">
      <c r="A141" s="6" t="s">
        <v>712</v>
      </c>
      <c r="B141" s="7" t="s">
        <v>713</v>
      </c>
      <c r="C141" s="8">
        <v>1</v>
      </c>
      <c r="D141" s="9">
        <v>9</v>
      </c>
      <c r="E141" s="9">
        <v>9</v>
      </c>
      <c r="F141" s="10">
        <v>19.989999999999998</v>
      </c>
      <c r="G141" s="9">
        <v>19.989999999999998</v>
      </c>
      <c r="H141" s="8" t="s">
        <v>3403</v>
      </c>
      <c r="I141" s="7" t="s">
        <v>3182</v>
      </c>
      <c r="J141" s="11" t="s">
        <v>3202</v>
      </c>
      <c r="K141" s="7" t="s">
        <v>3323</v>
      </c>
      <c r="L141" s="7" t="s">
        <v>3356</v>
      </c>
      <c r="M141" s="12" t="str">
        <f>HYPERLINK("http://slimages.macys.com/is/image/MCY/3890895 ")</f>
        <v xml:space="preserve">http://slimages.macys.com/is/image/MCY/3890895 </v>
      </c>
    </row>
    <row r="142" spans="1:13" ht="15.2" customHeight="1" x14ac:dyDescent="0.2">
      <c r="A142" s="6" t="s">
        <v>2764</v>
      </c>
      <c r="B142" s="7" t="s">
        <v>2765</v>
      </c>
      <c r="C142" s="8">
        <v>1</v>
      </c>
      <c r="D142" s="9">
        <v>9</v>
      </c>
      <c r="E142" s="9">
        <v>9</v>
      </c>
      <c r="F142" s="10">
        <v>19.989999999999998</v>
      </c>
      <c r="G142" s="9">
        <v>19.989999999999998</v>
      </c>
      <c r="H142" s="8" t="s">
        <v>4281</v>
      </c>
      <c r="I142" s="7" t="s">
        <v>3288</v>
      </c>
      <c r="J142" s="11" t="s">
        <v>3220</v>
      </c>
      <c r="K142" s="7" t="s">
        <v>3323</v>
      </c>
      <c r="L142" s="7" t="s">
        <v>3717</v>
      </c>
      <c r="M142" s="12" t="str">
        <f>HYPERLINK("http://slimages.macys.com/is/image/MCY/3207034 ")</f>
        <v xml:space="preserve">http://slimages.macys.com/is/image/MCY/3207034 </v>
      </c>
    </row>
    <row r="143" spans="1:13" ht="15.2" customHeight="1" x14ac:dyDescent="0.2">
      <c r="A143" s="6" t="s">
        <v>894</v>
      </c>
      <c r="B143" s="7" t="s">
        <v>895</v>
      </c>
      <c r="C143" s="8">
        <v>1</v>
      </c>
      <c r="D143" s="9">
        <v>9</v>
      </c>
      <c r="E143" s="9">
        <v>9</v>
      </c>
      <c r="F143" s="10">
        <v>19.989999999999998</v>
      </c>
      <c r="G143" s="9">
        <v>19.989999999999998</v>
      </c>
      <c r="H143" s="8" t="s">
        <v>3403</v>
      </c>
      <c r="I143" s="7" t="s">
        <v>3182</v>
      </c>
      <c r="J143" s="11" t="s">
        <v>3242</v>
      </c>
      <c r="K143" s="7" t="s">
        <v>3323</v>
      </c>
      <c r="L143" s="7" t="s">
        <v>3356</v>
      </c>
      <c r="M143" s="12" t="str">
        <f>HYPERLINK("http://slimages.macys.com/is/image/MCY/3890895 ")</f>
        <v xml:space="preserve">http://slimages.macys.com/is/image/MCY/3890895 </v>
      </c>
    </row>
    <row r="144" spans="1:13" ht="15.2" customHeight="1" x14ac:dyDescent="0.2">
      <c r="A144" s="6" t="s">
        <v>896</v>
      </c>
      <c r="B144" s="7" t="s">
        <v>897</v>
      </c>
      <c r="C144" s="8">
        <v>1</v>
      </c>
      <c r="D144" s="9">
        <v>8.69</v>
      </c>
      <c r="E144" s="9">
        <v>8.69</v>
      </c>
      <c r="F144" s="10">
        <v>16.989999999999998</v>
      </c>
      <c r="G144" s="9">
        <v>16.989999999999998</v>
      </c>
      <c r="H144" s="8">
        <v>60446927</v>
      </c>
      <c r="I144" s="7" t="s">
        <v>3185</v>
      </c>
      <c r="J144" s="11" t="s">
        <v>3202</v>
      </c>
      <c r="K144" s="7" t="s">
        <v>3334</v>
      </c>
      <c r="L144" s="7" t="s">
        <v>3368</v>
      </c>
      <c r="M144" s="12" t="str">
        <f>HYPERLINK("http://slimages.macys.com/is/image/MCY/3927792 ")</f>
        <v xml:space="preserve">http://slimages.macys.com/is/image/MCY/3927792 </v>
      </c>
    </row>
    <row r="145" spans="1:13" ht="15.2" customHeight="1" x14ac:dyDescent="0.2">
      <c r="A145" s="6" t="s">
        <v>898</v>
      </c>
      <c r="B145" s="7" t="s">
        <v>899</v>
      </c>
      <c r="C145" s="8">
        <v>1</v>
      </c>
      <c r="D145" s="9">
        <v>8.69</v>
      </c>
      <c r="E145" s="9">
        <v>8.69</v>
      </c>
      <c r="F145" s="10">
        <v>16.989999999999998</v>
      </c>
      <c r="G145" s="9">
        <v>16.989999999999998</v>
      </c>
      <c r="H145" s="8">
        <v>60446928</v>
      </c>
      <c r="I145" s="7" t="s">
        <v>3246</v>
      </c>
      <c r="J145" s="11" t="s">
        <v>3242</v>
      </c>
      <c r="K145" s="7" t="s">
        <v>3334</v>
      </c>
      <c r="L145" s="7" t="s">
        <v>3368</v>
      </c>
      <c r="M145" s="12" t="str">
        <f>HYPERLINK("http://slimages.macys.com/is/image/MCY/3927792 ")</f>
        <v xml:space="preserve">http://slimages.macys.com/is/image/MCY/3927792 </v>
      </c>
    </row>
    <row r="146" spans="1:13" ht="15.2" customHeight="1" x14ac:dyDescent="0.2">
      <c r="A146" s="6" t="s">
        <v>900</v>
      </c>
      <c r="B146" s="7" t="s">
        <v>901</v>
      </c>
      <c r="C146" s="8">
        <v>1</v>
      </c>
      <c r="D146" s="9">
        <v>8.69</v>
      </c>
      <c r="E146" s="9">
        <v>8.69</v>
      </c>
      <c r="F146" s="10">
        <v>16.989999999999998</v>
      </c>
      <c r="G146" s="9">
        <v>16.989999999999998</v>
      </c>
      <c r="H146" s="8">
        <v>60433928</v>
      </c>
      <c r="I146" s="7" t="s">
        <v>3185</v>
      </c>
      <c r="J146" s="11" t="s">
        <v>3202</v>
      </c>
      <c r="K146" s="7" t="s">
        <v>3334</v>
      </c>
      <c r="L146" s="7" t="s">
        <v>3368</v>
      </c>
      <c r="M146" s="12" t="str">
        <f>HYPERLINK("http://slimages.macys.com/is/image/MCY/3623246 ")</f>
        <v xml:space="preserve">http://slimages.macys.com/is/image/MCY/3623246 </v>
      </c>
    </row>
    <row r="147" spans="1:13" ht="15.2" customHeight="1" x14ac:dyDescent="0.2">
      <c r="A147" s="6" t="s">
        <v>2057</v>
      </c>
      <c r="B147" s="7" t="s">
        <v>2058</v>
      </c>
      <c r="C147" s="8">
        <v>1</v>
      </c>
      <c r="D147" s="9">
        <v>8.5500000000000007</v>
      </c>
      <c r="E147" s="9">
        <v>8.5500000000000007</v>
      </c>
      <c r="F147" s="10">
        <v>19.989999999999998</v>
      </c>
      <c r="G147" s="9">
        <v>19.989999999999998</v>
      </c>
      <c r="H147" s="8" t="s">
        <v>2778</v>
      </c>
      <c r="I147" s="7" t="s">
        <v>3182</v>
      </c>
      <c r="J147" s="11" t="s">
        <v>3242</v>
      </c>
      <c r="K147" s="7" t="s">
        <v>3343</v>
      </c>
      <c r="L147" s="7" t="s">
        <v>3367</v>
      </c>
      <c r="M147" s="12" t="str">
        <f>HYPERLINK("http://slimages.macys.com/is/image/MCY/3931020 ")</f>
        <v xml:space="preserve">http://slimages.macys.com/is/image/MCY/3931020 </v>
      </c>
    </row>
    <row r="148" spans="1:13" ht="15.2" customHeight="1" x14ac:dyDescent="0.2">
      <c r="A148" s="6" t="s">
        <v>902</v>
      </c>
      <c r="B148" s="7" t="s">
        <v>903</v>
      </c>
      <c r="C148" s="8">
        <v>1</v>
      </c>
      <c r="D148" s="9">
        <v>8.5500000000000007</v>
      </c>
      <c r="E148" s="9">
        <v>8.5500000000000007</v>
      </c>
      <c r="F148" s="10">
        <v>19.989999999999998</v>
      </c>
      <c r="G148" s="9">
        <v>19.989999999999998</v>
      </c>
      <c r="H148" s="8" t="s">
        <v>2778</v>
      </c>
      <c r="I148" s="7" t="s">
        <v>3252</v>
      </c>
      <c r="J148" s="11" t="s">
        <v>3242</v>
      </c>
      <c r="K148" s="7" t="s">
        <v>3343</v>
      </c>
      <c r="L148" s="7" t="s">
        <v>3367</v>
      </c>
      <c r="M148" s="12" t="str">
        <f>HYPERLINK("http://slimages.macys.com/is/image/MCY/3931020 ")</f>
        <v xml:space="preserve">http://slimages.macys.com/is/image/MCY/3931020 </v>
      </c>
    </row>
    <row r="149" spans="1:13" ht="15.2" customHeight="1" x14ac:dyDescent="0.2">
      <c r="A149" s="6" t="s">
        <v>1995</v>
      </c>
      <c r="B149" s="7" t="s">
        <v>1996</v>
      </c>
      <c r="C149" s="8">
        <v>1</v>
      </c>
      <c r="D149" s="9">
        <v>8.5</v>
      </c>
      <c r="E149" s="9">
        <v>8.5</v>
      </c>
      <c r="F149" s="10">
        <v>19.989999999999998</v>
      </c>
      <c r="G149" s="9">
        <v>19.989999999999998</v>
      </c>
      <c r="H149" s="8" t="s">
        <v>3406</v>
      </c>
      <c r="I149" s="7" t="s">
        <v>3246</v>
      </c>
      <c r="J149" s="11" t="s">
        <v>3220</v>
      </c>
      <c r="K149" s="7" t="s">
        <v>3323</v>
      </c>
      <c r="L149" s="7" t="s">
        <v>3407</v>
      </c>
      <c r="M149" s="12" t="str">
        <f>HYPERLINK("http://slimages.macys.com/is/image/MCY/3910788 ")</f>
        <v xml:space="preserve">http://slimages.macys.com/is/image/MCY/3910788 </v>
      </c>
    </row>
    <row r="150" spans="1:13" ht="15.2" customHeight="1" x14ac:dyDescent="0.2">
      <c r="A150" s="6" t="s">
        <v>2266</v>
      </c>
      <c r="B150" s="7" t="s">
        <v>2267</v>
      </c>
      <c r="C150" s="8">
        <v>1</v>
      </c>
      <c r="D150" s="9">
        <v>8.5</v>
      </c>
      <c r="E150" s="9">
        <v>8.5</v>
      </c>
      <c r="F150" s="10">
        <v>19.989999999999998</v>
      </c>
      <c r="G150" s="9">
        <v>19.989999999999998</v>
      </c>
      <c r="H150" s="8" t="s">
        <v>3417</v>
      </c>
      <c r="I150" s="7" t="s">
        <v>3214</v>
      </c>
      <c r="J150" s="11" t="s">
        <v>3202</v>
      </c>
      <c r="K150" s="7" t="s">
        <v>3323</v>
      </c>
      <c r="L150" s="7" t="s">
        <v>3356</v>
      </c>
      <c r="M150" s="12" t="str">
        <f>HYPERLINK("http://slimages.macys.com/is/image/MCY/3890886 ")</f>
        <v xml:space="preserve">http://slimages.macys.com/is/image/MCY/3890886 </v>
      </c>
    </row>
    <row r="151" spans="1:13" ht="15.2" customHeight="1" x14ac:dyDescent="0.2">
      <c r="A151" s="6" t="s">
        <v>904</v>
      </c>
      <c r="B151" s="7" t="s">
        <v>905</v>
      </c>
      <c r="C151" s="8">
        <v>1</v>
      </c>
      <c r="D151" s="9">
        <v>8.5</v>
      </c>
      <c r="E151" s="9">
        <v>8.5</v>
      </c>
      <c r="F151" s="10">
        <v>19.989999999999998</v>
      </c>
      <c r="G151" s="9">
        <v>19.989999999999998</v>
      </c>
      <c r="H151" s="8" t="s">
        <v>4289</v>
      </c>
      <c r="I151" s="7" t="s">
        <v>3185</v>
      </c>
      <c r="J151" s="11" t="s">
        <v>3186</v>
      </c>
      <c r="K151" s="7" t="s">
        <v>3323</v>
      </c>
      <c r="L151" s="7" t="s">
        <v>3931</v>
      </c>
      <c r="M151" s="12" t="str">
        <f>HYPERLINK("http://slimages.macys.com/is/image/MCY/3947075 ")</f>
        <v xml:space="preserve">http://slimages.macys.com/is/image/MCY/3947075 </v>
      </c>
    </row>
    <row r="152" spans="1:13" ht="15.2" customHeight="1" x14ac:dyDescent="0.2">
      <c r="A152" s="6" t="s">
        <v>2061</v>
      </c>
      <c r="B152" s="7" t="s">
        <v>2062</v>
      </c>
      <c r="C152" s="8">
        <v>2</v>
      </c>
      <c r="D152" s="9">
        <v>8.5</v>
      </c>
      <c r="E152" s="9">
        <v>17</v>
      </c>
      <c r="F152" s="10">
        <v>19.989999999999998</v>
      </c>
      <c r="G152" s="9">
        <v>39.979999999999997</v>
      </c>
      <c r="H152" s="8" t="s">
        <v>4289</v>
      </c>
      <c r="I152" s="7" t="s">
        <v>3185</v>
      </c>
      <c r="J152" s="11" t="s">
        <v>3220</v>
      </c>
      <c r="K152" s="7" t="s">
        <v>3323</v>
      </c>
      <c r="L152" s="7" t="s">
        <v>3931</v>
      </c>
      <c r="M152" s="12" t="str">
        <f>HYPERLINK("http://slimages.macys.com/is/image/MCY/3947075 ")</f>
        <v xml:space="preserve">http://slimages.macys.com/is/image/MCY/3947075 </v>
      </c>
    </row>
    <row r="153" spans="1:13" ht="15.2" customHeight="1" x14ac:dyDescent="0.2">
      <c r="A153" s="6" t="s">
        <v>906</v>
      </c>
      <c r="B153" s="7" t="s">
        <v>907</v>
      </c>
      <c r="C153" s="8">
        <v>1</v>
      </c>
      <c r="D153" s="9">
        <v>8.5</v>
      </c>
      <c r="E153" s="9">
        <v>8.5</v>
      </c>
      <c r="F153" s="10">
        <v>19.989999999999998</v>
      </c>
      <c r="G153" s="9">
        <v>19.989999999999998</v>
      </c>
      <c r="H153" s="8">
        <v>60433871</v>
      </c>
      <c r="I153" s="7" t="s">
        <v>3185</v>
      </c>
      <c r="J153" s="11" t="s">
        <v>3202</v>
      </c>
      <c r="K153" s="7" t="s">
        <v>3343</v>
      </c>
      <c r="L153" s="7" t="s">
        <v>3368</v>
      </c>
      <c r="M153" s="12" t="str">
        <f>HYPERLINK("http://slimages.macys.com/is/image/MCY/3910875 ")</f>
        <v xml:space="preserve">http://slimages.macys.com/is/image/MCY/3910875 </v>
      </c>
    </row>
    <row r="154" spans="1:13" ht="15.2" customHeight="1" x14ac:dyDescent="0.2">
      <c r="A154" s="6" t="s">
        <v>3412</v>
      </c>
      <c r="B154" s="7" t="s">
        <v>3413</v>
      </c>
      <c r="C154" s="8">
        <v>1</v>
      </c>
      <c r="D154" s="9">
        <v>8.5</v>
      </c>
      <c r="E154" s="9">
        <v>8.5</v>
      </c>
      <c r="F154" s="10">
        <v>19.989999999999998</v>
      </c>
      <c r="G154" s="9">
        <v>19.989999999999998</v>
      </c>
      <c r="H154" s="8" t="s">
        <v>3406</v>
      </c>
      <c r="I154" s="7" t="s">
        <v>3386</v>
      </c>
      <c r="J154" s="11" t="s">
        <v>3220</v>
      </c>
      <c r="K154" s="7" t="s">
        <v>3323</v>
      </c>
      <c r="L154" s="7" t="s">
        <v>3407</v>
      </c>
      <c r="M154" s="12" t="str">
        <f>HYPERLINK("http://slimages.macys.com/is/image/MCY/3910788 ")</f>
        <v xml:space="preserve">http://slimages.macys.com/is/image/MCY/3910788 </v>
      </c>
    </row>
    <row r="155" spans="1:13" ht="15.2" customHeight="1" x14ac:dyDescent="0.2">
      <c r="A155" s="6" t="s">
        <v>1271</v>
      </c>
      <c r="B155" s="7" t="s">
        <v>1272</v>
      </c>
      <c r="C155" s="8">
        <v>1</v>
      </c>
      <c r="D155" s="9">
        <v>8.5</v>
      </c>
      <c r="E155" s="9">
        <v>8.5</v>
      </c>
      <c r="F155" s="10">
        <v>19.989999999999998</v>
      </c>
      <c r="G155" s="9">
        <v>19.989999999999998</v>
      </c>
      <c r="H155" s="8">
        <v>60433871</v>
      </c>
      <c r="I155" s="7" t="s">
        <v>3339</v>
      </c>
      <c r="J155" s="11" t="s">
        <v>3220</v>
      </c>
      <c r="K155" s="7" t="s">
        <v>3343</v>
      </c>
      <c r="L155" s="7" t="s">
        <v>3368</v>
      </c>
      <c r="M155" s="12" t="str">
        <f>HYPERLINK("http://slimages.macys.com/is/image/MCY/3910875 ")</f>
        <v xml:space="preserve">http://slimages.macys.com/is/image/MCY/3910875 </v>
      </c>
    </row>
    <row r="156" spans="1:13" ht="15.2" customHeight="1" x14ac:dyDescent="0.2">
      <c r="A156" s="6" t="s">
        <v>908</v>
      </c>
      <c r="B156" s="7" t="s">
        <v>909</v>
      </c>
      <c r="C156" s="8">
        <v>1</v>
      </c>
      <c r="D156" s="9">
        <v>8.4499999999999993</v>
      </c>
      <c r="E156" s="9">
        <v>8.4499999999999993</v>
      </c>
      <c r="F156" s="10">
        <v>19.989999999999998</v>
      </c>
      <c r="G156" s="9">
        <v>19.989999999999998</v>
      </c>
      <c r="H156" s="8" t="s">
        <v>2804</v>
      </c>
      <c r="I156" s="7" t="s">
        <v>3185</v>
      </c>
      <c r="J156" s="11" t="s">
        <v>3220</v>
      </c>
      <c r="K156" s="7" t="s">
        <v>3323</v>
      </c>
      <c r="L156" s="7" t="s">
        <v>3407</v>
      </c>
      <c r="M156" s="12" t="str">
        <f>HYPERLINK("http://slimages.macys.com/is/image/MCY/3947122 ")</f>
        <v xml:space="preserve">http://slimages.macys.com/is/image/MCY/3947122 </v>
      </c>
    </row>
    <row r="157" spans="1:13" ht="15.2" customHeight="1" x14ac:dyDescent="0.2">
      <c r="A157" s="6" t="s">
        <v>910</v>
      </c>
      <c r="B157" s="7" t="s">
        <v>911</v>
      </c>
      <c r="C157" s="8">
        <v>1</v>
      </c>
      <c r="D157" s="9">
        <v>8.4499999999999993</v>
      </c>
      <c r="E157" s="9">
        <v>8.4499999999999993</v>
      </c>
      <c r="F157" s="10">
        <v>19.989999999999998</v>
      </c>
      <c r="G157" s="9">
        <v>19.989999999999998</v>
      </c>
      <c r="H157" s="8" t="s">
        <v>912</v>
      </c>
      <c r="I157" s="7" t="s">
        <v>3185</v>
      </c>
      <c r="J157" s="11" t="s">
        <v>3202</v>
      </c>
      <c r="K157" s="7" t="s">
        <v>3323</v>
      </c>
      <c r="L157" s="7" t="s">
        <v>3407</v>
      </c>
      <c r="M157" s="12" t="str">
        <f>HYPERLINK("http://slimages.macys.com/is/image/MCY/3947128 ")</f>
        <v xml:space="preserve">http://slimages.macys.com/is/image/MCY/3947128 </v>
      </c>
    </row>
    <row r="158" spans="1:13" ht="15.2" customHeight="1" x14ac:dyDescent="0.2">
      <c r="A158" s="6" t="s">
        <v>913</v>
      </c>
      <c r="B158" s="7" t="s">
        <v>914</v>
      </c>
      <c r="C158" s="8">
        <v>1</v>
      </c>
      <c r="D158" s="9">
        <v>8.4499999999999993</v>
      </c>
      <c r="E158" s="9">
        <v>8.4499999999999993</v>
      </c>
      <c r="F158" s="10">
        <v>19.989999999999998</v>
      </c>
      <c r="G158" s="9">
        <v>19.989999999999998</v>
      </c>
      <c r="H158" s="8" t="s">
        <v>912</v>
      </c>
      <c r="I158" s="7" t="s">
        <v>3185</v>
      </c>
      <c r="J158" s="11" t="s">
        <v>3186</v>
      </c>
      <c r="K158" s="7" t="s">
        <v>3323</v>
      </c>
      <c r="L158" s="7" t="s">
        <v>3407</v>
      </c>
      <c r="M158" s="12" t="str">
        <f>HYPERLINK("http://slimages.macys.com/is/image/MCY/3947128 ")</f>
        <v xml:space="preserve">http://slimages.macys.com/is/image/MCY/3947128 </v>
      </c>
    </row>
    <row r="159" spans="1:13" ht="15.2" customHeight="1" x14ac:dyDescent="0.2">
      <c r="A159" s="6" t="s">
        <v>915</v>
      </c>
      <c r="B159" s="7" t="s">
        <v>916</v>
      </c>
      <c r="C159" s="8">
        <v>1</v>
      </c>
      <c r="D159" s="9">
        <v>8.4499999999999993</v>
      </c>
      <c r="E159" s="9">
        <v>8.4499999999999993</v>
      </c>
      <c r="F159" s="10">
        <v>19.989999999999998</v>
      </c>
      <c r="G159" s="9">
        <v>19.989999999999998</v>
      </c>
      <c r="H159" s="8" t="s">
        <v>2804</v>
      </c>
      <c r="I159" s="7" t="s">
        <v>3185</v>
      </c>
      <c r="J159" s="11" t="s">
        <v>3242</v>
      </c>
      <c r="K159" s="7" t="s">
        <v>3323</v>
      </c>
      <c r="L159" s="7" t="s">
        <v>3407</v>
      </c>
      <c r="M159" s="12" t="str">
        <f>HYPERLINK("http://slimages.macys.com/is/image/MCY/3947122 ")</f>
        <v xml:space="preserve">http://slimages.macys.com/is/image/MCY/3947122 </v>
      </c>
    </row>
    <row r="160" spans="1:13" ht="15.2" customHeight="1" x14ac:dyDescent="0.2">
      <c r="A160" s="6" t="s">
        <v>3961</v>
      </c>
      <c r="B160" s="7" t="s">
        <v>3962</v>
      </c>
      <c r="C160" s="8">
        <v>1</v>
      </c>
      <c r="D160" s="9">
        <v>8.4</v>
      </c>
      <c r="E160" s="9">
        <v>8.4</v>
      </c>
      <c r="F160" s="10">
        <v>12.99</v>
      </c>
      <c r="G160" s="9">
        <v>12.99</v>
      </c>
      <c r="H160" s="8" t="s">
        <v>3963</v>
      </c>
      <c r="I160" s="7" t="s">
        <v>3219</v>
      </c>
      <c r="J160" s="11" t="s">
        <v>3202</v>
      </c>
      <c r="K160" s="7" t="s">
        <v>3326</v>
      </c>
      <c r="L160" s="7" t="s">
        <v>3371</v>
      </c>
      <c r="M160" s="12" t="str">
        <f>HYPERLINK("http://slimages.macys.com/is/image/MCY/3755683 ")</f>
        <v xml:space="preserve">http://slimages.macys.com/is/image/MCY/3755683 </v>
      </c>
    </row>
    <row r="161" spans="1:13" ht="15.2" customHeight="1" x14ac:dyDescent="0.2">
      <c r="A161" s="6" t="s">
        <v>1289</v>
      </c>
      <c r="B161" s="7" t="s">
        <v>1290</v>
      </c>
      <c r="C161" s="8">
        <v>1</v>
      </c>
      <c r="D161" s="9">
        <v>8.1</v>
      </c>
      <c r="E161" s="9">
        <v>8.1</v>
      </c>
      <c r="F161" s="10">
        <v>19.989999999999998</v>
      </c>
      <c r="G161" s="9">
        <v>19.989999999999998</v>
      </c>
      <c r="H161" s="8">
        <v>60449400</v>
      </c>
      <c r="I161" s="7" t="s">
        <v>3219</v>
      </c>
      <c r="J161" s="11" t="s">
        <v>3231</v>
      </c>
      <c r="K161" s="7" t="s">
        <v>3334</v>
      </c>
      <c r="L161" s="7" t="s">
        <v>3368</v>
      </c>
      <c r="M161" s="12" t="str">
        <f>HYPERLINK("http://slimages.macys.com/is/image/MCY/3940667 ")</f>
        <v xml:space="preserve">http://slimages.macys.com/is/image/MCY/3940667 </v>
      </c>
    </row>
    <row r="162" spans="1:13" ht="15.2" customHeight="1" x14ac:dyDescent="0.2">
      <c r="A162" s="6" t="s">
        <v>2063</v>
      </c>
      <c r="B162" s="7" t="s">
        <v>2064</v>
      </c>
      <c r="C162" s="8">
        <v>1</v>
      </c>
      <c r="D162" s="9">
        <v>8.1</v>
      </c>
      <c r="E162" s="9">
        <v>8.1</v>
      </c>
      <c r="F162" s="10">
        <v>19.989999999999998</v>
      </c>
      <c r="G162" s="9">
        <v>19.989999999999998</v>
      </c>
      <c r="H162" s="8">
        <v>60449400</v>
      </c>
      <c r="I162" s="7" t="s">
        <v>3214</v>
      </c>
      <c r="J162" s="11" t="s">
        <v>3202</v>
      </c>
      <c r="K162" s="7" t="s">
        <v>3334</v>
      </c>
      <c r="L162" s="7" t="s">
        <v>3368</v>
      </c>
      <c r="M162" s="12" t="str">
        <f>HYPERLINK("http://slimages.macys.com/is/image/MCY/3940667 ")</f>
        <v xml:space="preserve">http://slimages.macys.com/is/image/MCY/3940667 </v>
      </c>
    </row>
    <row r="163" spans="1:13" ht="15.2" customHeight="1" x14ac:dyDescent="0.2">
      <c r="A163" s="6" t="s">
        <v>1615</v>
      </c>
      <c r="B163" s="7" t="s">
        <v>1616</v>
      </c>
      <c r="C163" s="8">
        <v>1</v>
      </c>
      <c r="D163" s="9">
        <v>8.1</v>
      </c>
      <c r="E163" s="9">
        <v>8.1</v>
      </c>
      <c r="F163" s="10">
        <v>19.989999999999998</v>
      </c>
      <c r="G163" s="9">
        <v>19.989999999999998</v>
      </c>
      <c r="H163" s="8">
        <v>60449400</v>
      </c>
      <c r="I163" s="7" t="s">
        <v>3214</v>
      </c>
      <c r="J163" s="11" t="s">
        <v>3186</v>
      </c>
      <c r="K163" s="7" t="s">
        <v>3334</v>
      </c>
      <c r="L163" s="7" t="s">
        <v>3368</v>
      </c>
      <c r="M163" s="12" t="str">
        <f>HYPERLINK("http://slimages.macys.com/is/image/MCY/3940667 ")</f>
        <v xml:space="preserve">http://slimages.macys.com/is/image/MCY/3940667 </v>
      </c>
    </row>
    <row r="164" spans="1:13" ht="15.2" customHeight="1" x14ac:dyDescent="0.2">
      <c r="A164" s="6" t="s">
        <v>365</v>
      </c>
      <c r="B164" s="7" t="s">
        <v>366</v>
      </c>
      <c r="C164" s="8">
        <v>2</v>
      </c>
      <c r="D164" s="9">
        <v>8.1</v>
      </c>
      <c r="E164" s="9">
        <v>16.2</v>
      </c>
      <c r="F164" s="10">
        <v>19.989999999999998</v>
      </c>
      <c r="G164" s="9">
        <v>39.979999999999997</v>
      </c>
      <c r="H164" s="8">
        <v>60449400</v>
      </c>
      <c r="I164" s="7" t="s">
        <v>3214</v>
      </c>
      <c r="J164" s="11" t="s">
        <v>3231</v>
      </c>
      <c r="K164" s="7" t="s">
        <v>3334</v>
      </c>
      <c r="L164" s="7" t="s">
        <v>3368</v>
      </c>
      <c r="M164" s="12" t="str">
        <f>HYPERLINK("http://slimages.macys.com/is/image/MCY/3940667 ")</f>
        <v xml:space="preserve">http://slimages.macys.com/is/image/MCY/3940667 </v>
      </c>
    </row>
    <row r="165" spans="1:13" ht="15.2" customHeight="1" x14ac:dyDescent="0.2">
      <c r="A165" s="6" t="s">
        <v>1803</v>
      </c>
      <c r="B165" s="7" t="s">
        <v>1804</v>
      </c>
      <c r="C165" s="8">
        <v>3</v>
      </c>
      <c r="D165" s="9">
        <v>8</v>
      </c>
      <c r="E165" s="9">
        <v>24</v>
      </c>
      <c r="F165" s="10">
        <v>19.989999999999998</v>
      </c>
      <c r="G165" s="9">
        <v>59.97</v>
      </c>
      <c r="H165" s="8" t="s">
        <v>3947</v>
      </c>
      <c r="I165" s="7" t="s">
        <v>3640</v>
      </c>
      <c r="J165" s="11" t="s">
        <v>3186</v>
      </c>
      <c r="K165" s="7" t="s">
        <v>3343</v>
      </c>
      <c r="L165" s="7" t="s">
        <v>3384</v>
      </c>
      <c r="M165" s="12" t="str">
        <f>HYPERLINK("http://slimages.macys.com/is/image/MCY/3814584 ")</f>
        <v xml:space="preserve">http://slimages.macys.com/is/image/MCY/3814584 </v>
      </c>
    </row>
    <row r="166" spans="1:13" ht="15.2" customHeight="1" x14ac:dyDescent="0.2">
      <c r="A166" s="6" t="s">
        <v>917</v>
      </c>
      <c r="B166" s="7" t="s">
        <v>918</v>
      </c>
      <c r="C166" s="8">
        <v>1</v>
      </c>
      <c r="D166" s="9">
        <v>8</v>
      </c>
      <c r="E166" s="9">
        <v>8</v>
      </c>
      <c r="F166" s="10">
        <v>19.989999999999998</v>
      </c>
      <c r="G166" s="9">
        <v>19.989999999999998</v>
      </c>
      <c r="H166" s="8" t="s">
        <v>4121</v>
      </c>
      <c r="I166" s="7" t="s">
        <v>3257</v>
      </c>
      <c r="J166" s="11" t="s">
        <v>3231</v>
      </c>
      <c r="K166" s="7" t="s">
        <v>3323</v>
      </c>
      <c r="L166" s="7" t="s">
        <v>3356</v>
      </c>
      <c r="M166" s="12" t="str">
        <f>HYPERLINK("http://slimages.macys.com/is/image/MCY/3834521 ")</f>
        <v xml:space="preserve">http://slimages.macys.com/is/image/MCY/3834521 </v>
      </c>
    </row>
    <row r="167" spans="1:13" ht="15.2" customHeight="1" x14ac:dyDescent="0.2">
      <c r="A167" s="6" t="s">
        <v>919</v>
      </c>
      <c r="B167" s="7" t="s">
        <v>920</v>
      </c>
      <c r="C167" s="8">
        <v>1</v>
      </c>
      <c r="D167" s="9">
        <v>8</v>
      </c>
      <c r="E167" s="9">
        <v>8</v>
      </c>
      <c r="F167" s="10">
        <v>19.989999999999998</v>
      </c>
      <c r="G167" s="9">
        <v>19.989999999999998</v>
      </c>
      <c r="H167" s="8" t="s">
        <v>4297</v>
      </c>
      <c r="I167" s="7" t="s">
        <v>3339</v>
      </c>
      <c r="J167" s="11" t="s">
        <v>3202</v>
      </c>
      <c r="K167" s="7" t="s">
        <v>3323</v>
      </c>
      <c r="L167" s="7" t="s">
        <v>3356</v>
      </c>
      <c r="M167" s="12" t="str">
        <f>HYPERLINK("http://slimages.macys.com/is/image/MCY/3719772 ")</f>
        <v xml:space="preserve">http://slimages.macys.com/is/image/MCY/3719772 </v>
      </c>
    </row>
    <row r="168" spans="1:13" ht="15.2" customHeight="1" x14ac:dyDescent="0.2">
      <c r="A168" s="6" t="s">
        <v>921</v>
      </c>
      <c r="B168" s="7" t="s">
        <v>922</v>
      </c>
      <c r="C168" s="8">
        <v>1</v>
      </c>
      <c r="D168" s="9">
        <v>7.95</v>
      </c>
      <c r="E168" s="9">
        <v>7.95</v>
      </c>
      <c r="F168" s="10">
        <v>19.989999999999998</v>
      </c>
      <c r="G168" s="9">
        <v>19.989999999999998</v>
      </c>
      <c r="H168" s="8" t="s">
        <v>923</v>
      </c>
      <c r="I168" s="7" t="s">
        <v>3185</v>
      </c>
      <c r="J168" s="11" t="s">
        <v>3202</v>
      </c>
      <c r="K168" s="7" t="s">
        <v>3323</v>
      </c>
      <c r="L168" s="7" t="s">
        <v>3369</v>
      </c>
      <c r="M168" s="12" t="str">
        <f>HYPERLINK("http://slimages.macys.com/is/image/MCY/3532479 ")</f>
        <v xml:space="preserve">http://slimages.macys.com/is/image/MCY/3532479 </v>
      </c>
    </row>
    <row r="169" spans="1:13" ht="15.2" customHeight="1" x14ac:dyDescent="0.2">
      <c r="A169" s="6" t="s">
        <v>924</v>
      </c>
      <c r="B169" s="7" t="s">
        <v>925</v>
      </c>
      <c r="C169" s="8">
        <v>1</v>
      </c>
      <c r="D169" s="9">
        <v>7.85</v>
      </c>
      <c r="E169" s="9">
        <v>7.85</v>
      </c>
      <c r="F169" s="10">
        <v>27.99</v>
      </c>
      <c r="G169" s="9">
        <v>27.99</v>
      </c>
      <c r="H169" s="8" t="s">
        <v>3970</v>
      </c>
      <c r="I169" s="7" t="s">
        <v>3219</v>
      </c>
      <c r="J169" s="11" t="s">
        <v>3202</v>
      </c>
      <c r="K169" s="7" t="s">
        <v>3343</v>
      </c>
      <c r="L169" s="7" t="s">
        <v>3371</v>
      </c>
      <c r="M169" s="12" t="str">
        <f>HYPERLINK("http://slimages.macys.com/is/image/MCY/3798032 ")</f>
        <v xml:space="preserve">http://slimages.macys.com/is/image/MCY/3798032 </v>
      </c>
    </row>
    <row r="170" spans="1:13" ht="15.2" customHeight="1" x14ac:dyDescent="0.2">
      <c r="A170" s="6" t="s">
        <v>4314</v>
      </c>
      <c r="B170" s="7" t="s">
        <v>4315</v>
      </c>
      <c r="C170" s="8">
        <v>1</v>
      </c>
      <c r="D170" s="9">
        <v>7.63</v>
      </c>
      <c r="E170" s="9">
        <v>7.63</v>
      </c>
      <c r="F170" s="10">
        <v>22.5</v>
      </c>
      <c r="G170" s="9">
        <v>22.5</v>
      </c>
      <c r="H170" s="8" t="s">
        <v>4304</v>
      </c>
      <c r="I170" s="7" t="s">
        <v>3185</v>
      </c>
      <c r="J170" s="11" t="s">
        <v>3220</v>
      </c>
      <c r="K170" s="7" t="s">
        <v>3232</v>
      </c>
      <c r="L170" s="7" t="s">
        <v>3431</v>
      </c>
      <c r="M170" s="12" t="str">
        <f>HYPERLINK("http://slimages.macys.com/is/image/MCY/2217104 ")</f>
        <v xml:space="preserve">http://slimages.macys.com/is/image/MCY/2217104 </v>
      </c>
    </row>
    <row r="171" spans="1:13" ht="15.2" customHeight="1" x14ac:dyDescent="0.2">
      <c r="A171" s="6" t="s">
        <v>4312</v>
      </c>
      <c r="B171" s="7" t="s">
        <v>4313</v>
      </c>
      <c r="C171" s="8">
        <v>1</v>
      </c>
      <c r="D171" s="9">
        <v>7.63</v>
      </c>
      <c r="E171" s="9">
        <v>7.63</v>
      </c>
      <c r="F171" s="10">
        <v>22.5</v>
      </c>
      <c r="G171" s="9">
        <v>22.5</v>
      </c>
      <c r="H171" s="8" t="s">
        <v>4304</v>
      </c>
      <c r="I171" s="7" t="s">
        <v>3185</v>
      </c>
      <c r="J171" s="11" t="s">
        <v>3231</v>
      </c>
      <c r="K171" s="7" t="s">
        <v>3232</v>
      </c>
      <c r="L171" s="7" t="s">
        <v>3431</v>
      </c>
      <c r="M171" s="12" t="str">
        <f>HYPERLINK("http://slimages.macys.com/is/image/MCY/2217104 ")</f>
        <v xml:space="preserve">http://slimages.macys.com/is/image/MCY/2217104 </v>
      </c>
    </row>
    <row r="172" spans="1:13" ht="15.2" customHeight="1" x14ac:dyDescent="0.2">
      <c r="A172" s="6" t="s">
        <v>4306</v>
      </c>
      <c r="B172" s="7" t="s">
        <v>4307</v>
      </c>
      <c r="C172" s="8">
        <v>1</v>
      </c>
      <c r="D172" s="9">
        <v>7.63</v>
      </c>
      <c r="E172" s="9">
        <v>7.63</v>
      </c>
      <c r="F172" s="10">
        <v>22.5</v>
      </c>
      <c r="G172" s="9">
        <v>22.5</v>
      </c>
      <c r="H172" s="8" t="s">
        <v>4305</v>
      </c>
      <c r="I172" s="7" t="s">
        <v>3185</v>
      </c>
      <c r="J172" s="11" t="s">
        <v>3202</v>
      </c>
      <c r="K172" s="7" t="s">
        <v>3232</v>
      </c>
      <c r="L172" s="7" t="s">
        <v>3431</v>
      </c>
      <c r="M172" s="12" t="str">
        <f>HYPERLINK("http://slimages.macys.com/is/image/MCY/2217105 ")</f>
        <v xml:space="preserve">http://slimages.macys.com/is/image/MCY/2217105 </v>
      </c>
    </row>
    <row r="173" spans="1:13" ht="15.2" customHeight="1" x14ac:dyDescent="0.2">
      <c r="A173" s="6" t="s">
        <v>4302</v>
      </c>
      <c r="B173" s="7" t="s">
        <v>4303</v>
      </c>
      <c r="C173" s="8">
        <v>1</v>
      </c>
      <c r="D173" s="9">
        <v>7.63</v>
      </c>
      <c r="E173" s="9">
        <v>7.63</v>
      </c>
      <c r="F173" s="10">
        <v>22.5</v>
      </c>
      <c r="G173" s="9">
        <v>22.5</v>
      </c>
      <c r="H173" s="8" t="s">
        <v>4304</v>
      </c>
      <c r="I173" s="7" t="s">
        <v>3185</v>
      </c>
      <c r="J173" s="11" t="s">
        <v>3186</v>
      </c>
      <c r="K173" s="7" t="s">
        <v>3232</v>
      </c>
      <c r="L173" s="7" t="s">
        <v>3431</v>
      </c>
      <c r="M173" s="12" t="str">
        <f>HYPERLINK("http://slimages.macys.com/is/image/MCY/2217104 ")</f>
        <v xml:space="preserve">http://slimages.macys.com/is/image/MCY/2217104 </v>
      </c>
    </row>
    <row r="174" spans="1:13" ht="15.2" customHeight="1" x14ac:dyDescent="0.2">
      <c r="A174" s="6" t="s">
        <v>4310</v>
      </c>
      <c r="B174" s="7" t="s">
        <v>4311</v>
      </c>
      <c r="C174" s="8">
        <v>1</v>
      </c>
      <c r="D174" s="9">
        <v>7.63</v>
      </c>
      <c r="E174" s="9">
        <v>7.63</v>
      </c>
      <c r="F174" s="10">
        <v>22.5</v>
      </c>
      <c r="G174" s="9">
        <v>22.5</v>
      </c>
      <c r="H174" s="8" t="s">
        <v>4305</v>
      </c>
      <c r="I174" s="7" t="s">
        <v>3185</v>
      </c>
      <c r="J174" s="11" t="s">
        <v>3186</v>
      </c>
      <c r="K174" s="7" t="s">
        <v>3232</v>
      </c>
      <c r="L174" s="7" t="s">
        <v>3431</v>
      </c>
      <c r="M174" s="12" t="str">
        <f>HYPERLINK("http://slimages.macys.com/is/image/MCY/2217105 ")</f>
        <v xml:space="preserve">http://slimages.macys.com/is/image/MCY/2217105 </v>
      </c>
    </row>
    <row r="175" spans="1:13" ht="15.2" customHeight="1" x14ac:dyDescent="0.2">
      <c r="A175" s="6" t="s">
        <v>4308</v>
      </c>
      <c r="B175" s="7" t="s">
        <v>4309</v>
      </c>
      <c r="C175" s="8">
        <v>3</v>
      </c>
      <c r="D175" s="9">
        <v>7.63</v>
      </c>
      <c r="E175" s="9">
        <v>22.89</v>
      </c>
      <c r="F175" s="10">
        <v>22.5</v>
      </c>
      <c r="G175" s="9">
        <v>67.5</v>
      </c>
      <c r="H175" s="8" t="s">
        <v>4304</v>
      </c>
      <c r="I175" s="7" t="s">
        <v>3185</v>
      </c>
      <c r="J175" s="11" t="s">
        <v>3202</v>
      </c>
      <c r="K175" s="7" t="s">
        <v>3232</v>
      </c>
      <c r="L175" s="7" t="s">
        <v>3431</v>
      </c>
      <c r="M175" s="12" t="str">
        <f>HYPERLINK("http://slimages.macys.com/is/image/MCY/2217104 ")</f>
        <v xml:space="preserve">http://slimages.macys.com/is/image/MCY/2217104 </v>
      </c>
    </row>
    <row r="176" spans="1:13" ht="15.2" customHeight="1" x14ac:dyDescent="0.2">
      <c r="A176" s="6" t="s">
        <v>2413</v>
      </c>
      <c r="B176" s="7" t="s">
        <v>2414</v>
      </c>
      <c r="C176" s="8">
        <v>2</v>
      </c>
      <c r="D176" s="9">
        <v>7.55</v>
      </c>
      <c r="E176" s="9">
        <v>15.1</v>
      </c>
      <c r="F176" s="10">
        <v>22.5</v>
      </c>
      <c r="G176" s="9">
        <v>45</v>
      </c>
      <c r="H176" s="8" t="s">
        <v>3973</v>
      </c>
      <c r="I176" s="7" t="s">
        <v>3185</v>
      </c>
      <c r="J176" s="11"/>
      <c r="K176" s="7" t="s">
        <v>3232</v>
      </c>
      <c r="L176" s="7" t="s">
        <v>3431</v>
      </c>
      <c r="M176" s="12" t="str">
        <f>HYPERLINK("http://slimages.macys.com/is/image/MCY/1506837 ")</f>
        <v xml:space="preserve">http://slimages.macys.com/is/image/MCY/1506837 </v>
      </c>
    </row>
    <row r="177" spans="1:13" ht="15.2" customHeight="1" x14ac:dyDescent="0.2">
      <c r="A177" s="6" t="s">
        <v>3971</v>
      </c>
      <c r="B177" s="7" t="s">
        <v>3972</v>
      </c>
      <c r="C177" s="8">
        <v>5</v>
      </c>
      <c r="D177" s="9">
        <v>7.55</v>
      </c>
      <c r="E177" s="9">
        <v>37.75</v>
      </c>
      <c r="F177" s="10">
        <v>22.5</v>
      </c>
      <c r="G177" s="9">
        <v>112.5</v>
      </c>
      <c r="H177" s="8" t="s">
        <v>3973</v>
      </c>
      <c r="I177" s="7" t="s">
        <v>3185</v>
      </c>
      <c r="J177" s="11"/>
      <c r="K177" s="7" t="s">
        <v>3232</v>
      </c>
      <c r="L177" s="7" t="s">
        <v>3431</v>
      </c>
      <c r="M177" s="12" t="str">
        <f>HYPERLINK("http://slimages.macys.com/is/image/MCY/1506837 ")</f>
        <v xml:space="preserve">http://slimages.macys.com/is/image/MCY/1506837 </v>
      </c>
    </row>
    <row r="178" spans="1:13" ht="15.2" customHeight="1" x14ac:dyDescent="0.2">
      <c r="A178" s="6" t="s">
        <v>1720</v>
      </c>
      <c r="B178" s="7" t="s">
        <v>1721</v>
      </c>
      <c r="C178" s="8">
        <v>1</v>
      </c>
      <c r="D178" s="9">
        <v>7.5</v>
      </c>
      <c r="E178" s="9">
        <v>7.5</v>
      </c>
      <c r="F178" s="10">
        <v>19.989999999999998</v>
      </c>
      <c r="G178" s="9">
        <v>19.989999999999998</v>
      </c>
      <c r="H178" s="8" t="s">
        <v>2818</v>
      </c>
      <c r="I178" s="7" t="s">
        <v>3234</v>
      </c>
      <c r="J178" s="11" t="s">
        <v>3186</v>
      </c>
      <c r="K178" s="7" t="s">
        <v>3323</v>
      </c>
      <c r="L178" s="7" t="s">
        <v>3418</v>
      </c>
      <c r="M178" s="12" t="str">
        <f>HYPERLINK("http://slimages.macys.com/is/image/MCY/3660171 ")</f>
        <v xml:space="preserve">http://slimages.macys.com/is/image/MCY/3660171 </v>
      </c>
    </row>
    <row r="179" spans="1:13" ht="15.2" customHeight="1" x14ac:dyDescent="0.2">
      <c r="A179" s="6" t="s">
        <v>926</v>
      </c>
      <c r="B179" s="7" t="s">
        <v>927</v>
      </c>
      <c r="C179" s="8">
        <v>1</v>
      </c>
      <c r="D179" s="9">
        <v>7.5</v>
      </c>
      <c r="E179" s="9">
        <v>7.5</v>
      </c>
      <c r="F179" s="10">
        <v>19.989999999999998</v>
      </c>
      <c r="G179" s="9">
        <v>19.989999999999998</v>
      </c>
      <c r="H179" s="8" t="s">
        <v>4124</v>
      </c>
      <c r="I179" s="7" t="s">
        <v>3321</v>
      </c>
      <c r="J179" s="11" t="s">
        <v>3202</v>
      </c>
      <c r="K179" s="7" t="s">
        <v>3323</v>
      </c>
      <c r="L179" s="7" t="s">
        <v>3344</v>
      </c>
      <c r="M179" s="12" t="str">
        <f>HYPERLINK("http://slimages.macys.com/is/image/MCY/3953461 ")</f>
        <v xml:space="preserve">http://slimages.macys.com/is/image/MCY/3953461 </v>
      </c>
    </row>
    <row r="180" spans="1:13" ht="15.2" customHeight="1" x14ac:dyDescent="0.2">
      <c r="A180" s="6" t="s">
        <v>4316</v>
      </c>
      <c r="B180" s="7" t="s">
        <v>4317</v>
      </c>
      <c r="C180" s="8">
        <v>1</v>
      </c>
      <c r="D180" s="9">
        <v>7.5</v>
      </c>
      <c r="E180" s="9">
        <v>7.5</v>
      </c>
      <c r="F180" s="10">
        <v>19.989999999999998</v>
      </c>
      <c r="G180" s="9">
        <v>19.989999999999998</v>
      </c>
      <c r="H180" s="8" t="s">
        <v>3975</v>
      </c>
      <c r="I180" s="7" t="s">
        <v>3207</v>
      </c>
      <c r="J180" s="11" t="s">
        <v>3220</v>
      </c>
      <c r="K180" s="7" t="s">
        <v>3323</v>
      </c>
      <c r="L180" s="7" t="s">
        <v>3418</v>
      </c>
      <c r="M180" s="12" t="str">
        <f>HYPERLINK("http://slimages.macys.com/is/image/MCY/3852983 ")</f>
        <v xml:space="preserve">http://slimages.macys.com/is/image/MCY/3852983 </v>
      </c>
    </row>
    <row r="181" spans="1:13" ht="15.2" customHeight="1" x14ac:dyDescent="0.2">
      <c r="A181" s="6" t="s">
        <v>3976</v>
      </c>
      <c r="B181" s="7" t="s">
        <v>3977</v>
      </c>
      <c r="C181" s="8">
        <v>1</v>
      </c>
      <c r="D181" s="9">
        <v>7.5</v>
      </c>
      <c r="E181" s="9">
        <v>7.5</v>
      </c>
      <c r="F181" s="10">
        <v>19.989999999999998</v>
      </c>
      <c r="G181" s="9">
        <v>19.989999999999998</v>
      </c>
      <c r="H181" s="8" t="s">
        <v>3978</v>
      </c>
      <c r="I181" s="7" t="s">
        <v>3656</v>
      </c>
      <c r="J181" s="11" t="s">
        <v>3220</v>
      </c>
      <c r="K181" s="7" t="s">
        <v>3323</v>
      </c>
      <c r="L181" s="7" t="s">
        <v>3418</v>
      </c>
      <c r="M181" s="12" t="str">
        <f>HYPERLINK("http://slimages.macys.com/is/image/MCY/3821001 ")</f>
        <v xml:space="preserve">http://slimages.macys.com/is/image/MCY/3821001 </v>
      </c>
    </row>
    <row r="182" spans="1:13" ht="15.2" customHeight="1" x14ac:dyDescent="0.2">
      <c r="A182" s="6" t="s">
        <v>928</v>
      </c>
      <c r="B182" s="7" t="s">
        <v>929</v>
      </c>
      <c r="C182" s="8">
        <v>1</v>
      </c>
      <c r="D182" s="9">
        <v>7.5</v>
      </c>
      <c r="E182" s="9">
        <v>7.5</v>
      </c>
      <c r="F182" s="10">
        <v>19.989999999999998</v>
      </c>
      <c r="G182" s="9">
        <v>19.989999999999998</v>
      </c>
      <c r="H182" s="8" t="s">
        <v>3975</v>
      </c>
      <c r="I182" s="7" t="s">
        <v>3286</v>
      </c>
      <c r="J182" s="11" t="s">
        <v>3220</v>
      </c>
      <c r="K182" s="7" t="s">
        <v>3323</v>
      </c>
      <c r="L182" s="7" t="s">
        <v>3418</v>
      </c>
      <c r="M182" s="12" t="str">
        <f>HYPERLINK("http://slimages.macys.com/is/image/MCY/3852983 ")</f>
        <v xml:space="preserve">http://slimages.macys.com/is/image/MCY/3852983 </v>
      </c>
    </row>
    <row r="183" spans="1:13" ht="15.2" customHeight="1" x14ac:dyDescent="0.2">
      <c r="A183" s="6" t="s">
        <v>930</v>
      </c>
      <c r="B183" s="7" t="s">
        <v>931</v>
      </c>
      <c r="C183" s="8">
        <v>1</v>
      </c>
      <c r="D183" s="9">
        <v>7.5</v>
      </c>
      <c r="E183" s="9">
        <v>7.5</v>
      </c>
      <c r="F183" s="10">
        <v>19.989999999999998</v>
      </c>
      <c r="G183" s="9">
        <v>19.989999999999998</v>
      </c>
      <c r="H183" s="8" t="s">
        <v>3975</v>
      </c>
      <c r="I183" s="7" t="s">
        <v>3286</v>
      </c>
      <c r="J183" s="11" t="s">
        <v>3202</v>
      </c>
      <c r="K183" s="7" t="s">
        <v>3323</v>
      </c>
      <c r="L183" s="7" t="s">
        <v>3418</v>
      </c>
      <c r="M183" s="12" t="str">
        <f>HYPERLINK("http://slimages.macys.com/is/image/MCY/3852983 ")</f>
        <v xml:space="preserve">http://slimages.macys.com/is/image/MCY/3852983 </v>
      </c>
    </row>
    <row r="184" spans="1:13" ht="15.2" customHeight="1" x14ac:dyDescent="0.2">
      <c r="A184" s="6" t="s">
        <v>932</v>
      </c>
      <c r="B184" s="7" t="s">
        <v>933</v>
      </c>
      <c r="C184" s="8">
        <v>2</v>
      </c>
      <c r="D184" s="9">
        <v>7.5</v>
      </c>
      <c r="E184" s="9">
        <v>15</v>
      </c>
      <c r="F184" s="10">
        <v>19.989999999999998</v>
      </c>
      <c r="G184" s="9">
        <v>39.979999999999997</v>
      </c>
      <c r="H184" s="8" t="s">
        <v>3975</v>
      </c>
      <c r="I184" s="7" t="s">
        <v>3286</v>
      </c>
      <c r="J184" s="11" t="s">
        <v>3186</v>
      </c>
      <c r="K184" s="7" t="s">
        <v>3323</v>
      </c>
      <c r="L184" s="7" t="s">
        <v>3418</v>
      </c>
      <c r="M184" s="12" t="str">
        <f>HYPERLINK("http://slimages.macys.com/is/image/MCY/3852983 ")</f>
        <v xml:space="preserve">http://slimages.macys.com/is/image/MCY/3852983 </v>
      </c>
    </row>
    <row r="185" spans="1:13" ht="15.2" customHeight="1" x14ac:dyDescent="0.2">
      <c r="A185" s="6" t="s">
        <v>4122</v>
      </c>
      <c r="B185" s="7" t="s">
        <v>4123</v>
      </c>
      <c r="C185" s="8">
        <v>1</v>
      </c>
      <c r="D185" s="9">
        <v>7.5</v>
      </c>
      <c r="E185" s="9">
        <v>7.5</v>
      </c>
      <c r="F185" s="10">
        <v>19.989999999999998</v>
      </c>
      <c r="G185" s="9">
        <v>19.989999999999998</v>
      </c>
      <c r="H185" s="8" t="s">
        <v>3975</v>
      </c>
      <c r="I185" s="7" t="s">
        <v>3185</v>
      </c>
      <c r="J185" s="11" t="s">
        <v>3202</v>
      </c>
      <c r="K185" s="7" t="s">
        <v>3323</v>
      </c>
      <c r="L185" s="7" t="s">
        <v>3418</v>
      </c>
      <c r="M185" s="12" t="str">
        <f>HYPERLINK("http://slimages.macys.com/is/image/MCY/3852983 ")</f>
        <v xml:space="preserve">http://slimages.macys.com/is/image/MCY/3852983 </v>
      </c>
    </row>
    <row r="186" spans="1:13" ht="15.2" customHeight="1" x14ac:dyDescent="0.2">
      <c r="A186" s="6" t="s">
        <v>934</v>
      </c>
      <c r="B186" s="7" t="s">
        <v>935</v>
      </c>
      <c r="C186" s="8">
        <v>1</v>
      </c>
      <c r="D186" s="9">
        <v>7.48</v>
      </c>
      <c r="E186" s="9">
        <v>7.48</v>
      </c>
      <c r="F186" s="10">
        <v>22.5</v>
      </c>
      <c r="G186" s="9">
        <v>22.5</v>
      </c>
      <c r="H186" s="8" t="s">
        <v>3730</v>
      </c>
      <c r="I186" s="7" t="s">
        <v>3333</v>
      </c>
      <c r="J186" s="11" t="s">
        <v>3220</v>
      </c>
      <c r="K186" s="7" t="s">
        <v>3232</v>
      </c>
      <c r="L186" s="7" t="s">
        <v>3276</v>
      </c>
      <c r="M186" s="12" t="str">
        <f>HYPERLINK("http://slimages.macys.com/is/image/MCY/3061030 ")</f>
        <v xml:space="preserve">http://slimages.macys.com/is/image/MCY/3061030 </v>
      </c>
    </row>
    <row r="187" spans="1:13" ht="15.2" customHeight="1" x14ac:dyDescent="0.2">
      <c r="A187" s="6" t="s">
        <v>936</v>
      </c>
      <c r="B187" s="7" t="s">
        <v>937</v>
      </c>
      <c r="C187" s="8">
        <v>1</v>
      </c>
      <c r="D187" s="9">
        <v>7.25</v>
      </c>
      <c r="E187" s="9">
        <v>7.25</v>
      </c>
      <c r="F187" s="10">
        <v>16.989999999999998</v>
      </c>
      <c r="G187" s="9">
        <v>16.989999999999998</v>
      </c>
      <c r="H187" s="8" t="s">
        <v>4318</v>
      </c>
      <c r="I187" s="7" t="s">
        <v>3185</v>
      </c>
      <c r="J187" s="11" t="s">
        <v>3202</v>
      </c>
      <c r="K187" s="7" t="s">
        <v>3323</v>
      </c>
      <c r="L187" s="7" t="s">
        <v>3356</v>
      </c>
      <c r="M187" s="12" t="str">
        <f>HYPERLINK("http://slimages.macys.com/is/image/MCY/3614757 ")</f>
        <v xml:space="preserve">http://slimages.macys.com/is/image/MCY/3614757 </v>
      </c>
    </row>
    <row r="188" spans="1:13" ht="15.2" customHeight="1" x14ac:dyDescent="0.2">
      <c r="A188" s="6" t="s">
        <v>1302</v>
      </c>
      <c r="B188" s="7" t="s">
        <v>1303</v>
      </c>
      <c r="C188" s="8">
        <v>1</v>
      </c>
      <c r="D188" s="9">
        <v>7</v>
      </c>
      <c r="E188" s="9">
        <v>7</v>
      </c>
      <c r="F188" s="10">
        <v>19.989999999999998</v>
      </c>
      <c r="G188" s="9">
        <v>19.989999999999998</v>
      </c>
      <c r="H188" s="8" t="s">
        <v>3436</v>
      </c>
      <c r="I188" s="7" t="s">
        <v>3189</v>
      </c>
      <c r="J188" s="11" t="s">
        <v>3202</v>
      </c>
      <c r="K188" s="7" t="s">
        <v>3323</v>
      </c>
      <c r="L188" s="7" t="s">
        <v>3371</v>
      </c>
      <c r="M188" s="12" t="str">
        <f>HYPERLINK("http://slimages.macys.com/is/image/MCY/3910801 ")</f>
        <v xml:space="preserve">http://slimages.macys.com/is/image/MCY/3910801 </v>
      </c>
    </row>
    <row r="189" spans="1:13" ht="15.2" customHeight="1" x14ac:dyDescent="0.2">
      <c r="A189" s="6" t="s">
        <v>1722</v>
      </c>
      <c r="B189" s="7" t="s">
        <v>1723</v>
      </c>
      <c r="C189" s="8">
        <v>1</v>
      </c>
      <c r="D189" s="9">
        <v>7</v>
      </c>
      <c r="E189" s="9">
        <v>7</v>
      </c>
      <c r="F189" s="10">
        <v>19.989999999999998</v>
      </c>
      <c r="G189" s="9">
        <v>19.989999999999998</v>
      </c>
      <c r="H189" s="8" t="s">
        <v>4128</v>
      </c>
      <c r="I189" s="7" t="s">
        <v>3252</v>
      </c>
      <c r="J189" s="11" t="s">
        <v>3202</v>
      </c>
      <c r="K189" s="7" t="s">
        <v>3387</v>
      </c>
      <c r="L189" s="7" t="s">
        <v>3429</v>
      </c>
      <c r="M189" s="12" t="str">
        <f>HYPERLINK("http://slimages.macys.com/is/image/MCY/3773262 ")</f>
        <v xml:space="preserve">http://slimages.macys.com/is/image/MCY/3773262 </v>
      </c>
    </row>
    <row r="190" spans="1:13" ht="15.2" customHeight="1" x14ac:dyDescent="0.2">
      <c r="A190" s="6" t="s">
        <v>4126</v>
      </c>
      <c r="B190" s="7" t="s">
        <v>4127</v>
      </c>
      <c r="C190" s="8">
        <v>1</v>
      </c>
      <c r="D190" s="9">
        <v>7</v>
      </c>
      <c r="E190" s="9">
        <v>7</v>
      </c>
      <c r="F190" s="10">
        <v>19.989999999999998</v>
      </c>
      <c r="G190" s="9">
        <v>19.989999999999998</v>
      </c>
      <c r="H190" s="8" t="s">
        <v>4128</v>
      </c>
      <c r="I190" s="7" t="s">
        <v>3252</v>
      </c>
      <c r="J190" s="11" t="s">
        <v>3242</v>
      </c>
      <c r="K190" s="7" t="s">
        <v>3387</v>
      </c>
      <c r="L190" s="7" t="s">
        <v>3429</v>
      </c>
      <c r="M190" s="12" t="str">
        <f>HYPERLINK("http://slimages.macys.com/is/image/MCY/3773262 ")</f>
        <v xml:space="preserve">http://slimages.macys.com/is/image/MCY/3773262 </v>
      </c>
    </row>
    <row r="191" spans="1:13" ht="15.2" customHeight="1" x14ac:dyDescent="0.2">
      <c r="A191" s="6" t="s">
        <v>938</v>
      </c>
      <c r="B191" s="7" t="s">
        <v>939</v>
      </c>
      <c r="C191" s="8">
        <v>1</v>
      </c>
      <c r="D191" s="9">
        <v>7</v>
      </c>
      <c r="E191" s="9">
        <v>7</v>
      </c>
      <c r="F191" s="10">
        <v>19.989999999999998</v>
      </c>
      <c r="G191" s="9">
        <v>19.989999999999998</v>
      </c>
      <c r="H191" s="8" t="s">
        <v>2415</v>
      </c>
      <c r="I191" s="7" t="s">
        <v>3321</v>
      </c>
      <c r="J191" s="11" t="s">
        <v>3186</v>
      </c>
      <c r="K191" s="7" t="s">
        <v>3323</v>
      </c>
      <c r="L191" s="7" t="s">
        <v>3356</v>
      </c>
      <c r="M191" s="12" t="str">
        <f>HYPERLINK("http://slimages.macys.com/is/image/MCY/3685480 ")</f>
        <v xml:space="preserve">http://slimages.macys.com/is/image/MCY/3685480 </v>
      </c>
    </row>
    <row r="192" spans="1:13" ht="15.2" customHeight="1" x14ac:dyDescent="0.2">
      <c r="A192" s="6" t="s">
        <v>3438</v>
      </c>
      <c r="B192" s="7" t="s">
        <v>3439</v>
      </c>
      <c r="C192" s="8">
        <v>1</v>
      </c>
      <c r="D192" s="9">
        <v>7</v>
      </c>
      <c r="E192" s="9">
        <v>7</v>
      </c>
      <c r="F192" s="10">
        <v>19.989999999999998</v>
      </c>
      <c r="G192" s="9">
        <v>19.989999999999998</v>
      </c>
      <c r="H192" s="8" t="s">
        <v>3436</v>
      </c>
      <c r="I192" s="7" t="s">
        <v>3321</v>
      </c>
      <c r="J192" s="11" t="s">
        <v>3186</v>
      </c>
      <c r="K192" s="7" t="s">
        <v>3323</v>
      </c>
      <c r="L192" s="7" t="s">
        <v>3371</v>
      </c>
      <c r="M192" s="12" t="str">
        <f>HYPERLINK("http://slimages.macys.com/is/image/MCY/3910801 ")</f>
        <v xml:space="preserve">http://slimages.macys.com/is/image/MCY/3910801 </v>
      </c>
    </row>
    <row r="193" spans="1:13" ht="15.2" customHeight="1" x14ac:dyDescent="0.2">
      <c r="A193" s="6" t="s">
        <v>940</v>
      </c>
      <c r="B193" s="7" t="s">
        <v>941</v>
      </c>
      <c r="C193" s="8">
        <v>1</v>
      </c>
      <c r="D193" s="9">
        <v>7</v>
      </c>
      <c r="E193" s="9">
        <v>7</v>
      </c>
      <c r="F193" s="10">
        <v>19.989999999999998</v>
      </c>
      <c r="G193" s="9">
        <v>19.989999999999998</v>
      </c>
      <c r="H193" s="8" t="s">
        <v>3436</v>
      </c>
      <c r="I193" s="7" t="s">
        <v>3219</v>
      </c>
      <c r="J193" s="11" t="s">
        <v>3220</v>
      </c>
      <c r="K193" s="7" t="s">
        <v>3323</v>
      </c>
      <c r="L193" s="7" t="s">
        <v>3371</v>
      </c>
      <c r="M193" s="12" t="str">
        <f>HYPERLINK("http://slimages.macys.com/is/image/MCY/3910801 ")</f>
        <v xml:space="preserve">http://slimages.macys.com/is/image/MCY/3910801 </v>
      </c>
    </row>
    <row r="194" spans="1:13" ht="15.2" customHeight="1" x14ac:dyDescent="0.2">
      <c r="A194" s="6" t="s">
        <v>942</v>
      </c>
      <c r="B194" s="7" t="s">
        <v>943</v>
      </c>
      <c r="C194" s="8">
        <v>2</v>
      </c>
      <c r="D194" s="9">
        <v>6.75</v>
      </c>
      <c r="E194" s="9">
        <v>13.5</v>
      </c>
      <c r="F194" s="10">
        <v>16.989999999999998</v>
      </c>
      <c r="G194" s="9">
        <v>33.979999999999997</v>
      </c>
      <c r="H194" s="8" t="s">
        <v>4129</v>
      </c>
      <c r="I194" s="7" t="s">
        <v>3402</v>
      </c>
      <c r="J194" s="11" t="s">
        <v>3202</v>
      </c>
      <c r="K194" s="7" t="s">
        <v>3323</v>
      </c>
      <c r="L194" s="7" t="s">
        <v>3356</v>
      </c>
      <c r="M194" s="12" t="str">
        <f>HYPERLINK("http://slimages.macys.com/is/image/MCY/3606639 ")</f>
        <v xml:space="preserve">http://slimages.macys.com/is/image/MCY/3606639 </v>
      </c>
    </row>
    <row r="195" spans="1:13" ht="15.2" customHeight="1" x14ac:dyDescent="0.2">
      <c r="A195" s="6" t="s">
        <v>944</v>
      </c>
      <c r="B195" s="7" t="s">
        <v>945</v>
      </c>
      <c r="C195" s="8">
        <v>1</v>
      </c>
      <c r="D195" s="9">
        <v>6.75</v>
      </c>
      <c r="E195" s="9">
        <v>6.75</v>
      </c>
      <c r="F195" s="10">
        <v>12.99</v>
      </c>
      <c r="G195" s="9">
        <v>12.99</v>
      </c>
      <c r="H195" s="8" t="s">
        <v>1724</v>
      </c>
      <c r="I195" s="7" t="s">
        <v>3339</v>
      </c>
      <c r="J195" s="11" t="s">
        <v>3242</v>
      </c>
      <c r="K195" s="7" t="s">
        <v>3387</v>
      </c>
      <c r="L195" s="7" t="s">
        <v>3344</v>
      </c>
      <c r="M195" s="12" t="str">
        <f>HYPERLINK("http://slimages.macys.com/is/image/MCY/3859753 ")</f>
        <v xml:space="preserve">http://slimages.macys.com/is/image/MCY/3859753 </v>
      </c>
    </row>
    <row r="196" spans="1:13" ht="15.2" customHeight="1" x14ac:dyDescent="0.2">
      <c r="A196" s="6" t="s">
        <v>716</v>
      </c>
      <c r="B196" s="7" t="s">
        <v>717</v>
      </c>
      <c r="C196" s="8">
        <v>2</v>
      </c>
      <c r="D196" s="9">
        <v>6.75</v>
      </c>
      <c r="E196" s="9">
        <v>13.5</v>
      </c>
      <c r="F196" s="10">
        <v>12.99</v>
      </c>
      <c r="G196" s="9">
        <v>25.98</v>
      </c>
      <c r="H196" s="8" t="s">
        <v>1724</v>
      </c>
      <c r="I196" s="7" t="s">
        <v>3339</v>
      </c>
      <c r="J196" s="11" t="s">
        <v>3186</v>
      </c>
      <c r="K196" s="7" t="s">
        <v>3387</v>
      </c>
      <c r="L196" s="7" t="s">
        <v>3344</v>
      </c>
      <c r="M196" s="12" t="str">
        <f>HYPERLINK("http://slimages.macys.com/is/image/MCY/3859753 ")</f>
        <v xml:space="preserve">http://slimages.macys.com/is/image/MCY/3859753 </v>
      </c>
    </row>
    <row r="197" spans="1:13" ht="15.2" customHeight="1" x14ac:dyDescent="0.2">
      <c r="A197" s="6" t="s">
        <v>946</v>
      </c>
      <c r="B197" s="7" t="s">
        <v>947</v>
      </c>
      <c r="C197" s="8">
        <v>1</v>
      </c>
      <c r="D197" s="9">
        <v>6.3</v>
      </c>
      <c r="E197" s="9">
        <v>6.3</v>
      </c>
      <c r="F197" s="10">
        <v>14.99</v>
      </c>
      <c r="G197" s="9">
        <v>14.99</v>
      </c>
      <c r="H197" s="8" t="s">
        <v>4132</v>
      </c>
      <c r="I197" s="7" t="s">
        <v>3252</v>
      </c>
      <c r="J197" s="11" t="s">
        <v>3242</v>
      </c>
      <c r="K197" s="7" t="s">
        <v>3300</v>
      </c>
      <c r="L197" s="7" t="s">
        <v>3301</v>
      </c>
      <c r="M197" s="12" t="str">
        <f>HYPERLINK("http://slimages.macys.com/is/image/MCY/3953479 ")</f>
        <v xml:space="preserve">http://slimages.macys.com/is/image/MCY/3953479 </v>
      </c>
    </row>
    <row r="198" spans="1:13" ht="15.2" customHeight="1" x14ac:dyDescent="0.2">
      <c r="A198" s="6" t="s">
        <v>2277</v>
      </c>
      <c r="B198" s="7" t="s">
        <v>2278</v>
      </c>
      <c r="C198" s="8">
        <v>1</v>
      </c>
      <c r="D198" s="9">
        <v>6.3</v>
      </c>
      <c r="E198" s="9">
        <v>6.3</v>
      </c>
      <c r="F198" s="10">
        <v>14.99</v>
      </c>
      <c r="G198" s="9">
        <v>14.99</v>
      </c>
      <c r="H198" s="8" t="s">
        <v>2279</v>
      </c>
      <c r="I198" s="7" t="s">
        <v>3185</v>
      </c>
      <c r="J198" s="11" t="s">
        <v>3220</v>
      </c>
      <c r="K198" s="7" t="s">
        <v>3300</v>
      </c>
      <c r="L198" s="7" t="s">
        <v>3301</v>
      </c>
      <c r="M198" s="12" t="str">
        <f>HYPERLINK("http://slimages.macys.com/is/image/MCY/3876250 ")</f>
        <v xml:space="preserve">http://slimages.macys.com/is/image/MCY/3876250 </v>
      </c>
    </row>
    <row r="199" spans="1:13" ht="15.2" customHeight="1" x14ac:dyDescent="0.2">
      <c r="A199" s="6" t="s">
        <v>3734</v>
      </c>
      <c r="B199" s="7" t="s">
        <v>3735</v>
      </c>
      <c r="C199" s="8">
        <v>1</v>
      </c>
      <c r="D199" s="9">
        <v>6.3</v>
      </c>
      <c r="E199" s="9">
        <v>6.3</v>
      </c>
      <c r="F199" s="10">
        <v>14.99</v>
      </c>
      <c r="G199" s="9">
        <v>14.99</v>
      </c>
      <c r="H199" s="8" t="s">
        <v>3445</v>
      </c>
      <c r="I199" s="7" t="s">
        <v>3216</v>
      </c>
      <c r="J199" s="11" t="s">
        <v>3242</v>
      </c>
      <c r="K199" s="7" t="s">
        <v>3300</v>
      </c>
      <c r="L199" s="7" t="s">
        <v>3301</v>
      </c>
      <c r="M199" s="12" t="str">
        <f>HYPERLINK("http://slimages.macys.com/is/image/MCY/3876250 ")</f>
        <v xml:space="preserve">http://slimages.macys.com/is/image/MCY/3876250 </v>
      </c>
    </row>
    <row r="200" spans="1:13" ht="15.2" customHeight="1" x14ac:dyDescent="0.2">
      <c r="A200" s="6" t="s">
        <v>948</v>
      </c>
      <c r="B200" s="7" t="s">
        <v>949</v>
      </c>
      <c r="C200" s="8">
        <v>1</v>
      </c>
      <c r="D200" s="9">
        <v>6.3</v>
      </c>
      <c r="E200" s="9">
        <v>6.3</v>
      </c>
      <c r="F200" s="10">
        <v>14.99</v>
      </c>
      <c r="G200" s="9">
        <v>14.99</v>
      </c>
      <c r="H200" s="8" t="s">
        <v>2282</v>
      </c>
      <c r="I200" s="7" t="s">
        <v>3394</v>
      </c>
      <c r="J200" s="11" t="s">
        <v>3186</v>
      </c>
      <c r="K200" s="7" t="s">
        <v>3300</v>
      </c>
      <c r="L200" s="7" t="s">
        <v>3301</v>
      </c>
      <c r="M200" s="12" t="str">
        <f>HYPERLINK("http://slimages.macys.com/is/image/MCY/3722527 ")</f>
        <v xml:space="preserve">http://slimages.macys.com/is/image/MCY/3722527 </v>
      </c>
    </row>
    <row r="201" spans="1:13" ht="15.2" customHeight="1" x14ac:dyDescent="0.2">
      <c r="A201" s="6" t="s">
        <v>2280</v>
      </c>
      <c r="B201" s="7" t="s">
        <v>2281</v>
      </c>
      <c r="C201" s="8">
        <v>1</v>
      </c>
      <c r="D201" s="9">
        <v>6.3</v>
      </c>
      <c r="E201" s="9">
        <v>6.3</v>
      </c>
      <c r="F201" s="10">
        <v>14.99</v>
      </c>
      <c r="G201" s="9">
        <v>14.99</v>
      </c>
      <c r="H201" s="8" t="s">
        <v>2279</v>
      </c>
      <c r="I201" s="7" t="s">
        <v>3185</v>
      </c>
      <c r="J201" s="11" t="s">
        <v>3242</v>
      </c>
      <c r="K201" s="7" t="s">
        <v>3300</v>
      </c>
      <c r="L201" s="7" t="s">
        <v>3301</v>
      </c>
      <c r="M201" s="12" t="str">
        <f>HYPERLINK("http://slimages.macys.com/is/image/MCY/3876250 ")</f>
        <v xml:space="preserve">http://slimages.macys.com/is/image/MCY/3876250 </v>
      </c>
    </row>
    <row r="202" spans="1:13" ht="15.2" customHeight="1" x14ac:dyDescent="0.2">
      <c r="A202" s="6" t="s">
        <v>950</v>
      </c>
      <c r="B202" s="7" t="s">
        <v>951</v>
      </c>
      <c r="C202" s="8">
        <v>1</v>
      </c>
      <c r="D202" s="9">
        <v>6.3</v>
      </c>
      <c r="E202" s="9">
        <v>6.3</v>
      </c>
      <c r="F202" s="10">
        <v>14.99</v>
      </c>
      <c r="G202" s="9">
        <v>14.99</v>
      </c>
      <c r="H202" s="8" t="s">
        <v>1725</v>
      </c>
      <c r="I202" s="7" t="s">
        <v>3252</v>
      </c>
      <c r="J202" s="11" t="s">
        <v>3202</v>
      </c>
      <c r="K202" s="7" t="s">
        <v>3300</v>
      </c>
      <c r="L202" s="7" t="s">
        <v>3301</v>
      </c>
      <c r="M202" s="12" t="str">
        <f>HYPERLINK("http://slimages.macys.com/is/image/MCY/3722527 ")</f>
        <v xml:space="preserve">http://slimages.macys.com/is/image/MCY/3722527 </v>
      </c>
    </row>
    <row r="203" spans="1:13" ht="15.2" customHeight="1" x14ac:dyDescent="0.2">
      <c r="A203" s="6" t="s">
        <v>3446</v>
      </c>
      <c r="B203" s="7" t="s">
        <v>3447</v>
      </c>
      <c r="C203" s="8">
        <v>1</v>
      </c>
      <c r="D203" s="9">
        <v>6.3</v>
      </c>
      <c r="E203" s="9">
        <v>6.3</v>
      </c>
      <c r="F203" s="10">
        <v>14.99</v>
      </c>
      <c r="G203" s="9">
        <v>14.99</v>
      </c>
      <c r="H203" s="8" t="s">
        <v>3445</v>
      </c>
      <c r="I203" s="7" t="s">
        <v>3216</v>
      </c>
      <c r="J203" s="11" t="s">
        <v>3220</v>
      </c>
      <c r="K203" s="7" t="s">
        <v>3300</v>
      </c>
      <c r="L203" s="7" t="s">
        <v>3301</v>
      </c>
      <c r="M203" s="12" t="str">
        <f>HYPERLINK("http://slimages.macys.com/is/image/MCY/3876250 ")</f>
        <v xml:space="preserve">http://slimages.macys.com/is/image/MCY/3876250 </v>
      </c>
    </row>
    <row r="204" spans="1:13" ht="15.2" customHeight="1" x14ac:dyDescent="0.2">
      <c r="A204" s="6" t="s">
        <v>952</v>
      </c>
      <c r="B204" s="7" t="s">
        <v>953</v>
      </c>
      <c r="C204" s="8">
        <v>1</v>
      </c>
      <c r="D204" s="9">
        <v>6.3</v>
      </c>
      <c r="E204" s="9">
        <v>6.3</v>
      </c>
      <c r="F204" s="10">
        <v>14.99</v>
      </c>
      <c r="G204" s="9">
        <v>14.99</v>
      </c>
      <c r="H204" s="8" t="s">
        <v>3736</v>
      </c>
      <c r="I204" s="7" t="s">
        <v>3400</v>
      </c>
      <c r="J204" s="11" t="s">
        <v>3186</v>
      </c>
      <c r="K204" s="7" t="s">
        <v>3300</v>
      </c>
      <c r="L204" s="7" t="s">
        <v>3301</v>
      </c>
      <c r="M204" s="12" t="str">
        <f>HYPERLINK("http://slimages.macys.com/is/image/MCY/3579794 ")</f>
        <v xml:space="preserve">http://slimages.macys.com/is/image/MCY/3579794 </v>
      </c>
    </row>
    <row r="205" spans="1:13" ht="15.2" customHeight="1" x14ac:dyDescent="0.2">
      <c r="A205" s="6" t="s">
        <v>954</v>
      </c>
      <c r="B205" s="7" t="s">
        <v>955</v>
      </c>
      <c r="C205" s="8">
        <v>1</v>
      </c>
      <c r="D205" s="9">
        <v>6.25</v>
      </c>
      <c r="E205" s="9">
        <v>6.25</v>
      </c>
      <c r="F205" s="10">
        <v>12.99</v>
      </c>
      <c r="G205" s="9">
        <v>12.99</v>
      </c>
      <c r="H205" s="8" t="s">
        <v>4321</v>
      </c>
      <c r="I205" s="7" t="s">
        <v>3252</v>
      </c>
      <c r="J205" s="11" t="s">
        <v>3202</v>
      </c>
      <c r="K205" s="7" t="s">
        <v>3387</v>
      </c>
      <c r="L205" s="7" t="s">
        <v>3388</v>
      </c>
      <c r="M205" s="12" t="str">
        <f>HYPERLINK("http://slimages.macys.com/is/image/MCY/3773475 ")</f>
        <v xml:space="preserve">http://slimages.macys.com/is/image/MCY/3773475 </v>
      </c>
    </row>
    <row r="206" spans="1:13" ht="15.2" customHeight="1" x14ac:dyDescent="0.2">
      <c r="A206" s="6" t="s">
        <v>3993</v>
      </c>
      <c r="B206" s="7" t="s">
        <v>3994</v>
      </c>
      <c r="C206" s="8">
        <v>1</v>
      </c>
      <c r="D206" s="9">
        <v>6.15</v>
      </c>
      <c r="E206" s="9">
        <v>6.15</v>
      </c>
      <c r="F206" s="10">
        <v>14.99</v>
      </c>
      <c r="G206" s="9">
        <v>14.99</v>
      </c>
      <c r="H206" s="8" t="s">
        <v>3450</v>
      </c>
      <c r="I206" s="7" t="s">
        <v>3333</v>
      </c>
      <c r="J206" s="11" t="s">
        <v>3242</v>
      </c>
      <c r="K206" s="7" t="s">
        <v>3300</v>
      </c>
      <c r="L206" s="7" t="s">
        <v>3301</v>
      </c>
      <c r="M206" s="12" t="str">
        <f>HYPERLINK("http://slimages.macys.com/is/image/MCY/3899765 ")</f>
        <v xml:space="preserve">http://slimages.macys.com/is/image/MCY/3899765 </v>
      </c>
    </row>
    <row r="207" spans="1:13" ht="15.2" customHeight="1" x14ac:dyDescent="0.2">
      <c r="A207" s="6" t="s">
        <v>3991</v>
      </c>
      <c r="B207" s="7" t="s">
        <v>3992</v>
      </c>
      <c r="C207" s="8">
        <v>4</v>
      </c>
      <c r="D207" s="9">
        <v>6.15</v>
      </c>
      <c r="E207" s="9">
        <v>24.6</v>
      </c>
      <c r="F207" s="10">
        <v>14.99</v>
      </c>
      <c r="G207" s="9">
        <v>59.96</v>
      </c>
      <c r="H207" s="8" t="s">
        <v>3450</v>
      </c>
      <c r="I207" s="7" t="s">
        <v>3333</v>
      </c>
      <c r="J207" s="11" t="s">
        <v>3202</v>
      </c>
      <c r="K207" s="7" t="s">
        <v>3300</v>
      </c>
      <c r="L207" s="7" t="s">
        <v>3301</v>
      </c>
      <c r="M207" s="12" t="str">
        <f>HYPERLINK("http://slimages.macys.com/is/image/MCY/3899765 ")</f>
        <v xml:space="preserve">http://slimages.macys.com/is/image/MCY/3899765 </v>
      </c>
    </row>
    <row r="208" spans="1:13" ht="15.2" customHeight="1" x14ac:dyDescent="0.2">
      <c r="A208" s="6" t="s">
        <v>3448</v>
      </c>
      <c r="B208" s="7" t="s">
        <v>3449</v>
      </c>
      <c r="C208" s="8">
        <v>1</v>
      </c>
      <c r="D208" s="9">
        <v>6.15</v>
      </c>
      <c r="E208" s="9">
        <v>6.15</v>
      </c>
      <c r="F208" s="10">
        <v>14.99</v>
      </c>
      <c r="G208" s="9">
        <v>14.99</v>
      </c>
      <c r="H208" s="8" t="s">
        <v>3450</v>
      </c>
      <c r="I208" s="7" t="s">
        <v>3333</v>
      </c>
      <c r="J208" s="11" t="s">
        <v>3220</v>
      </c>
      <c r="K208" s="7" t="s">
        <v>3300</v>
      </c>
      <c r="L208" s="7" t="s">
        <v>3301</v>
      </c>
      <c r="M208" s="12" t="str">
        <f>HYPERLINK("http://slimages.macys.com/is/image/MCY/3899765 ")</f>
        <v xml:space="preserve">http://slimages.macys.com/is/image/MCY/3899765 </v>
      </c>
    </row>
    <row r="209" spans="1:13" ht="15.2" customHeight="1" x14ac:dyDescent="0.2">
      <c r="A209" s="6" t="s">
        <v>956</v>
      </c>
      <c r="B209" s="7" t="s">
        <v>957</v>
      </c>
      <c r="C209" s="8">
        <v>1</v>
      </c>
      <c r="D209" s="9">
        <v>6</v>
      </c>
      <c r="E209" s="9">
        <v>6</v>
      </c>
      <c r="F209" s="10">
        <v>13.99</v>
      </c>
      <c r="G209" s="9">
        <v>13.99</v>
      </c>
      <c r="H209" s="8" t="s">
        <v>3452</v>
      </c>
      <c r="I209" s="7" t="s">
        <v>3189</v>
      </c>
      <c r="J209" s="11" t="s">
        <v>3231</v>
      </c>
      <c r="K209" s="7" t="s">
        <v>3387</v>
      </c>
      <c r="L209" s="7" t="s">
        <v>3371</v>
      </c>
      <c r="M209" s="12" t="str">
        <f>HYPERLINK("http://slimages.macys.com/is/image/MCY/3910835 ")</f>
        <v xml:space="preserve">http://slimages.macys.com/is/image/MCY/3910835 </v>
      </c>
    </row>
    <row r="210" spans="1:13" ht="15.2" customHeight="1" x14ac:dyDescent="0.2">
      <c r="A210" s="6" t="s">
        <v>958</v>
      </c>
      <c r="B210" s="7" t="s">
        <v>959</v>
      </c>
      <c r="C210" s="8">
        <v>1</v>
      </c>
      <c r="D210" s="9">
        <v>6</v>
      </c>
      <c r="E210" s="9">
        <v>6</v>
      </c>
      <c r="F210" s="10">
        <v>12.99</v>
      </c>
      <c r="G210" s="9">
        <v>12.99</v>
      </c>
      <c r="H210" s="8" t="s">
        <v>3737</v>
      </c>
      <c r="I210" s="7" t="s">
        <v>3252</v>
      </c>
      <c r="J210" s="11" t="s">
        <v>3242</v>
      </c>
      <c r="K210" s="7" t="s">
        <v>3387</v>
      </c>
      <c r="L210" s="7" t="s">
        <v>3388</v>
      </c>
      <c r="M210" s="12" t="str">
        <f>HYPERLINK("http://slimages.macys.com/is/image/MCY/3875958 ")</f>
        <v xml:space="preserve">http://slimages.macys.com/is/image/MCY/3875958 </v>
      </c>
    </row>
    <row r="211" spans="1:13" ht="15.2" customHeight="1" x14ac:dyDescent="0.2">
      <c r="A211" s="6" t="s">
        <v>960</v>
      </c>
      <c r="B211" s="7" t="s">
        <v>961</v>
      </c>
      <c r="C211" s="8">
        <v>4</v>
      </c>
      <c r="D211" s="9">
        <v>6</v>
      </c>
      <c r="E211" s="9">
        <v>24</v>
      </c>
      <c r="F211" s="10">
        <v>12.99</v>
      </c>
      <c r="G211" s="9">
        <v>51.96</v>
      </c>
      <c r="H211" s="8" t="s">
        <v>962</v>
      </c>
      <c r="I211" s="7" t="s">
        <v>3321</v>
      </c>
      <c r="J211" s="11" t="s">
        <v>3220</v>
      </c>
      <c r="K211" s="7" t="s">
        <v>3387</v>
      </c>
      <c r="L211" s="7" t="s">
        <v>3410</v>
      </c>
      <c r="M211" s="12" t="str">
        <f>HYPERLINK("http://slimages.macys.com/is/image/MCY/3915550 ")</f>
        <v xml:space="preserve">http://slimages.macys.com/is/image/MCY/3915550 </v>
      </c>
    </row>
    <row r="212" spans="1:13" ht="15.2" customHeight="1" x14ac:dyDescent="0.2">
      <c r="A212" s="6" t="s">
        <v>3457</v>
      </c>
      <c r="B212" s="7" t="s">
        <v>3458</v>
      </c>
      <c r="C212" s="8">
        <v>1</v>
      </c>
      <c r="D212" s="9">
        <v>5.95</v>
      </c>
      <c r="E212" s="9">
        <v>5.95</v>
      </c>
      <c r="F212" s="10">
        <v>12.99</v>
      </c>
      <c r="G212" s="9">
        <v>12.99</v>
      </c>
      <c r="H212" s="8" t="s">
        <v>3459</v>
      </c>
      <c r="I212" s="7" t="s">
        <v>3252</v>
      </c>
      <c r="J212" s="11" t="s">
        <v>3231</v>
      </c>
      <c r="K212" s="7" t="s">
        <v>3387</v>
      </c>
      <c r="L212" s="7" t="s">
        <v>3429</v>
      </c>
      <c r="M212" s="12" t="str">
        <f>HYPERLINK("http://slimages.macys.com/is/image/MCY/3700228 ")</f>
        <v xml:space="preserve">http://slimages.macys.com/is/image/MCY/3700228 </v>
      </c>
    </row>
    <row r="213" spans="1:13" ht="15.2" customHeight="1" x14ac:dyDescent="0.2">
      <c r="A213" s="6" t="s">
        <v>1336</v>
      </c>
      <c r="B213" s="7" t="s">
        <v>1337</v>
      </c>
      <c r="C213" s="8">
        <v>2</v>
      </c>
      <c r="D213" s="9">
        <v>5.95</v>
      </c>
      <c r="E213" s="9">
        <v>11.9</v>
      </c>
      <c r="F213" s="10">
        <v>12.99</v>
      </c>
      <c r="G213" s="9">
        <v>25.98</v>
      </c>
      <c r="H213" s="8" t="s">
        <v>2426</v>
      </c>
      <c r="I213" s="7" t="s">
        <v>3428</v>
      </c>
      <c r="J213" s="11" t="s">
        <v>3186</v>
      </c>
      <c r="K213" s="7" t="s">
        <v>3387</v>
      </c>
      <c r="L213" s="7" t="s">
        <v>3429</v>
      </c>
      <c r="M213" s="12" t="str">
        <f>HYPERLINK("http://slimages.macys.com/is/image/MCY/3773354 ")</f>
        <v xml:space="preserve">http://slimages.macys.com/is/image/MCY/3773354 </v>
      </c>
    </row>
    <row r="214" spans="1:13" ht="15.2" customHeight="1" x14ac:dyDescent="0.2">
      <c r="A214" s="6" t="s">
        <v>721</v>
      </c>
      <c r="B214" s="7" t="s">
        <v>722</v>
      </c>
      <c r="C214" s="8">
        <v>1</v>
      </c>
      <c r="D214" s="9">
        <v>5.95</v>
      </c>
      <c r="E214" s="9">
        <v>5.95</v>
      </c>
      <c r="F214" s="10">
        <v>12.99</v>
      </c>
      <c r="G214" s="9">
        <v>12.99</v>
      </c>
      <c r="H214" s="8" t="s">
        <v>2838</v>
      </c>
      <c r="I214" s="7" t="s">
        <v>3376</v>
      </c>
      <c r="J214" s="11" t="s">
        <v>3220</v>
      </c>
      <c r="K214" s="7" t="s">
        <v>3387</v>
      </c>
      <c r="L214" s="7" t="s">
        <v>3429</v>
      </c>
      <c r="M214" s="12" t="str">
        <f>HYPERLINK("http://slimages.macys.com/is/image/MCY/3947094 ")</f>
        <v xml:space="preserve">http://slimages.macys.com/is/image/MCY/3947094 </v>
      </c>
    </row>
    <row r="215" spans="1:13" ht="15.2" customHeight="1" x14ac:dyDescent="0.2">
      <c r="A215" s="6" t="s">
        <v>963</v>
      </c>
      <c r="B215" s="7" t="s">
        <v>964</v>
      </c>
      <c r="C215" s="8">
        <v>1</v>
      </c>
      <c r="D215" s="9">
        <v>5.95</v>
      </c>
      <c r="E215" s="9">
        <v>5.95</v>
      </c>
      <c r="F215" s="10">
        <v>12.99</v>
      </c>
      <c r="G215" s="9">
        <v>12.99</v>
      </c>
      <c r="H215" s="8" t="s">
        <v>2426</v>
      </c>
      <c r="I215" s="7" t="s">
        <v>3428</v>
      </c>
      <c r="J215" s="11" t="s">
        <v>3231</v>
      </c>
      <c r="K215" s="7" t="s">
        <v>3387</v>
      </c>
      <c r="L215" s="7" t="s">
        <v>3429</v>
      </c>
      <c r="M215" s="12" t="str">
        <f>HYPERLINK("http://slimages.macys.com/is/image/MCY/3773354 ")</f>
        <v xml:space="preserve">http://slimages.macys.com/is/image/MCY/3773354 </v>
      </c>
    </row>
    <row r="216" spans="1:13" ht="15.2" customHeight="1" x14ac:dyDescent="0.2">
      <c r="A216" s="6" t="s">
        <v>965</v>
      </c>
      <c r="B216" s="7" t="s">
        <v>966</v>
      </c>
      <c r="C216" s="8">
        <v>1</v>
      </c>
      <c r="D216" s="9">
        <v>5.75</v>
      </c>
      <c r="E216" s="9">
        <v>5.75</v>
      </c>
      <c r="F216" s="10">
        <v>12.99</v>
      </c>
      <c r="G216" s="9">
        <v>12.99</v>
      </c>
      <c r="H216" s="8" t="s">
        <v>967</v>
      </c>
      <c r="I216" s="7" t="s">
        <v>3257</v>
      </c>
      <c r="J216" s="11" t="s">
        <v>3692</v>
      </c>
      <c r="K216" s="7" t="s">
        <v>3343</v>
      </c>
      <c r="L216" s="7" t="s">
        <v>3367</v>
      </c>
      <c r="M216" s="12" t="str">
        <f>HYPERLINK("http://slimages.macys.com/is/image/MCY/3931080 ")</f>
        <v xml:space="preserve">http://slimages.macys.com/is/image/MCY/3931080 </v>
      </c>
    </row>
    <row r="217" spans="1:13" ht="15.2" customHeight="1" x14ac:dyDescent="0.2">
      <c r="A217" s="6" t="s">
        <v>968</v>
      </c>
      <c r="B217" s="7" t="s">
        <v>969</v>
      </c>
      <c r="C217" s="8">
        <v>1</v>
      </c>
      <c r="D217" s="9">
        <v>5.75</v>
      </c>
      <c r="E217" s="9">
        <v>5.75</v>
      </c>
      <c r="F217" s="10">
        <v>12.99</v>
      </c>
      <c r="G217" s="9">
        <v>12.99</v>
      </c>
      <c r="H217" s="8" t="s">
        <v>970</v>
      </c>
      <c r="I217" s="7" t="s">
        <v>3738</v>
      </c>
      <c r="J217" s="11" t="s">
        <v>3220</v>
      </c>
      <c r="K217" s="7" t="s">
        <v>3387</v>
      </c>
      <c r="L217" s="7" t="s">
        <v>3404</v>
      </c>
      <c r="M217" s="12" t="str">
        <f>HYPERLINK("http://slimages.macys.com/is/image/MCY/3624332 ")</f>
        <v xml:space="preserve">http://slimages.macys.com/is/image/MCY/3624332 </v>
      </c>
    </row>
    <row r="218" spans="1:13" ht="15.2" customHeight="1" x14ac:dyDescent="0.2">
      <c r="A218" s="6" t="s">
        <v>725</v>
      </c>
      <c r="B218" s="7" t="s">
        <v>726</v>
      </c>
      <c r="C218" s="8">
        <v>1</v>
      </c>
      <c r="D218" s="9">
        <v>5.75</v>
      </c>
      <c r="E218" s="9">
        <v>5.75</v>
      </c>
      <c r="F218" s="10">
        <v>13.99</v>
      </c>
      <c r="G218" s="9">
        <v>13.99</v>
      </c>
      <c r="H218" s="8" t="s">
        <v>3742</v>
      </c>
      <c r="I218" s="7" t="s">
        <v>3421</v>
      </c>
      <c r="J218" s="11" t="s">
        <v>3202</v>
      </c>
      <c r="K218" s="7" t="s">
        <v>3387</v>
      </c>
      <c r="L218" s="7" t="s">
        <v>3404</v>
      </c>
      <c r="M218" s="12" t="str">
        <f>HYPERLINK("http://slimages.macys.com/is/image/MCY/3814598 ")</f>
        <v xml:space="preserve">http://slimages.macys.com/is/image/MCY/3814598 </v>
      </c>
    </row>
    <row r="219" spans="1:13" ht="15.2" customHeight="1" x14ac:dyDescent="0.2">
      <c r="A219" s="6" t="s">
        <v>4136</v>
      </c>
      <c r="B219" s="7" t="s">
        <v>4137</v>
      </c>
      <c r="C219" s="8">
        <v>1</v>
      </c>
      <c r="D219" s="9">
        <v>5.5</v>
      </c>
      <c r="E219" s="9">
        <v>5.5</v>
      </c>
      <c r="F219" s="10">
        <v>12.99</v>
      </c>
      <c r="G219" s="9">
        <v>12.99</v>
      </c>
      <c r="H219" s="8" t="s">
        <v>4138</v>
      </c>
      <c r="I219" s="7" t="s">
        <v>3252</v>
      </c>
      <c r="J219" s="11" t="s">
        <v>3186</v>
      </c>
      <c r="K219" s="7" t="s">
        <v>3387</v>
      </c>
      <c r="L219" s="7" t="s">
        <v>3404</v>
      </c>
      <c r="M219" s="12" t="str">
        <f>HYPERLINK("http://slimages.macys.com/is/image/MCY/3875986 ")</f>
        <v xml:space="preserve">http://slimages.macys.com/is/image/MCY/3875986 </v>
      </c>
    </row>
    <row r="220" spans="1:13" ht="15.2" customHeight="1" x14ac:dyDescent="0.2">
      <c r="A220" s="6" t="s">
        <v>3745</v>
      </c>
      <c r="B220" s="7" t="s">
        <v>3746</v>
      </c>
      <c r="C220" s="8">
        <v>2</v>
      </c>
      <c r="D220" s="9">
        <v>5.5</v>
      </c>
      <c r="E220" s="9">
        <v>11</v>
      </c>
      <c r="F220" s="10">
        <v>16.989999999999998</v>
      </c>
      <c r="G220" s="9">
        <v>33.979999999999997</v>
      </c>
      <c r="H220" s="8" t="s">
        <v>3469</v>
      </c>
      <c r="I220" s="7" t="s">
        <v>3235</v>
      </c>
      <c r="J220" s="11" t="s">
        <v>3220</v>
      </c>
      <c r="K220" s="7" t="s">
        <v>3387</v>
      </c>
      <c r="L220" s="7" t="s">
        <v>3442</v>
      </c>
      <c r="M220" s="12" t="str">
        <f>HYPERLINK("http://slimages.macys.com/is/image/MCY/3953467 ")</f>
        <v xml:space="preserve">http://slimages.macys.com/is/image/MCY/3953467 </v>
      </c>
    </row>
    <row r="221" spans="1:13" ht="15.2" customHeight="1" x14ac:dyDescent="0.2">
      <c r="A221" s="6" t="s">
        <v>1726</v>
      </c>
      <c r="B221" s="7" t="s">
        <v>1727</v>
      </c>
      <c r="C221" s="8">
        <v>1</v>
      </c>
      <c r="D221" s="9">
        <v>5.5</v>
      </c>
      <c r="E221" s="9">
        <v>5.5</v>
      </c>
      <c r="F221" s="10">
        <v>12.99</v>
      </c>
      <c r="G221" s="9">
        <v>12.99</v>
      </c>
      <c r="H221" s="8" t="s">
        <v>4138</v>
      </c>
      <c r="I221" s="7" t="s">
        <v>3252</v>
      </c>
      <c r="J221" s="11" t="s">
        <v>3220</v>
      </c>
      <c r="K221" s="7" t="s">
        <v>3387</v>
      </c>
      <c r="L221" s="7" t="s">
        <v>3404</v>
      </c>
      <c r="M221" s="12" t="str">
        <f>HYPERLINK("http://slimages.macys.com/is/image/MCY/3875986 ")</f>
        <v xml:space="preserve">http://slimages.macys.com/is/image/MCY/3875986 </v>
      </c>
    </row>
    <row r="222" spans="1:13" ht="15.2" customHeight="1" x14ac:dyDescent="0.2">
      <c r="A222" s="6" t="s">
        <v>971</v>
      </c>
      <c r="B222" s="7" t="s">
        <v>972</v>
      </c>
      <c r="C222" s="8">
        <v>1</v>
      </c>
      <c r="D222" s="9">
        <v>5.5</v>
      </c>
      <c r="E222" s="9">
        <v>5.5</v>
      </c>
      <c r="F222" s="10">
        <v>13.99</v>
      </c>
      <c r="G222" s="9">
        <v>13.99</v>
      </c>
      <c r="H222" s="8" t="s">
        <v>973</v>
      </c>
      <c r="I222" s="7" t="s">
        <v>3286</v>
      </c>
      <c r="J222" s="11" t="s">
        <v>3220</v>
      </c>
      <c r="K222" s="7" t="s">
        <v>3387</v>
      </c>
      <c r="L222" s="7" t="s">
        <v>3384</v>
      </c>
      <c r="M222" s="12" t="str">
        <f>HYPERLINK("http://slimages.macys.com/is/image/MCY/3609960 ")</f>
        <v xml:space="preserve">http://slimages.macys.com/is/image/MCY/3609960 </v>
      </c>
    </row>
    <row r="223" spans="1:13" ht="15.2" customHeight="1" x14ac:dyDescent="0.2">
      <c r="A223" s="6" t="s">
        <v>4002</v>
      </c>
      <c r="B223" s="7" t="s">
        <v>4003</v>
      </c>
      <c r="C223" s="8">
        <v>1</v>
      </c>
      <c r="D223" s="9">
        <v>5.5</v>
      </c>
      <c r="E223" s="9">
        <v>5.5</v>
      </c>
      <c r="F223" s="10">
        <v>12.99</v>
      </c>
      <c r="G223" s="9">
        <v>12.99</v>
      </c>
      <c r="H223" s="8" t="s">
        <v>3477</v>
      </c>
      <c r="I223" s="7" t="s">
        <v>3381</v>
      </c>
      <c r="J223" s="11" t="s">
        <v>3220</v>
      </c>
      <c r="K223" s="7" t="s">
        <v>3387</v>
      </c>
      <c r="L223" s="7" t="s">
        <v>3404</v>
      </c>
      <c r="M223" s="12" t="str">
        <f>HYPERLINK("http://slimages.macys.com/is/image/MCY/3875989 ")</f>
        <v xml:space="preserve">http://slimages.macys.com/is/image/MCY/3875989 </v>
      </c>
    </row>
    <row r="224" spans="1:13" ht="15.2" customHeight="1" x14ac:dyDescent="0.2">
      <c r="A224" s="6" t="s">
        <v>3472</v>
      </c>
      <c r="B224" s="7" t="s">
        <v>3473</v>
      </c>
      <c r="C224" s="8">
        <v>1</v>
      </c>
      <c r="D224" s="9">
        <v>5.5</v>
      </c>
      <c r="E224" s="9">
        <v>5.5</v>
      </c>
      <c r="F224" s="10">
        <v>16.989999999999998</v>
      </c>
      <c r="G224" s="9">
        <v>16.989999999999998</v>
      </c>
      <c r="H224" s="8" t="s">
        <v>3469</v>
      </c>
      <c r="I224" s="7" t="s">
        <v>3437</v>
      </c>
      <c r="J224" s="11" t="s">
        <v>3220</v>
      </c>
      <c r="K224" s="7" t="s">
        <v>3387</v>
      </c>
      <c r="L224" s="7" t="s">
        <v>3442</v>
      </c>
      <c r="M224" s="12" t="str">
        <f>HYPERLINK("http://slimages.macys.com/is/image/MCY/3953470 ")</f>
        <v xml:space="preserve">http://slimages.macys.com/is/image/MCY/3953470 </v>
      </c>
    </row>
    <row r="225" spans="1:13" ht="15.2" customHeight="1" x14ac:dyDescent="0.2">
      <c r="A225" s="6" t="s">
        <v>974</v>
      </c>
      <c r="B225" s="7" t="s">
        <v>975</v>
      </c>
      <c r="C225" s="8">
        <v>2</v>
      </c>
      <c r="D225" s="9">
        <v>5.5</v>
      </c>
      <c r="E225" s="9">
        <v>11</v>
      </c>
      <c r="F225" s="10">
        <v>13.99</v>
      </c>
      <c r="G225" s="9">
        <v>27.98</v>
      </c>
      <c r="H225" s="8" t="s">
        <v>973</v>
      </c>
      <c r="I225" s="7" t="s">
        <v>3257</v>
      </c>
      <c r="J225" s="11" t="s">
        <v>3242</v>
      </c>
      <c r="K225" s="7" t="s">
        <v>3387</v>
      </c>
      <c r="L225" s="7" t="s">
        <v>3384</v>
      </c>
      <c r="M225" s="12" t="str">
        <f>HYPERLINK("http://slimages.macys.com/is/image/MCY/3609960 ")</f>
        <v xml:space="preserve">http://slimages.macys.com/is/image/MCY/3609960 </v>
      </c>
    </row>
    <row r="226" spans="1:13" ht="15.2" customHeight="1" x14ac:dyDescent="0.2">
      <c r="A226" s="6" t="s">
        <v>4327</v>
      </c>
      <c r="B226" s="7" t="s">
        <v>4328</v>
      </c>
      <c r="C226" s="8">
        <v>1</v>
      </c>
      <c r="D226" s="9">
        <v>5.46</v>
      </c>
      <c r="E226" s="9">
        <v>5.46</v>
      </c>
      <c r="F226" s="10">
        <v>12.99</v>
      </c>
      <c r="G226" s="9">
        <v>12.99</v>
      </c>
      <c r="H226" s="8" t="s">
        <v>3751</v>
      </c>
      <c r="I226" s="7" t="s">
        <v>3185</v>
      </c>
      <c r="J226" s="11" t="s">
        <v>3231</v>
      </c>
      <c r="K226" s="7" t="s">
        <v>3300</v>
      </c>
      <c r="L226" s="7" t="s">
        <v>3301</v>
      </c>
      <c r="M226" s="12" t="str">
        <f>HYPERLINK("http://slimages.macys.com/is/image/MCY/3857696 ")</f>
        <v xml:space="preserve">http://slimages.macys.com/is/image/MCY/3857696 </v>
      </c>
    </row>
    <row r="227" spans="1:13" ht="15.2" customHeight="1" x14ac:dyDescent="0.2">
      <c r="A227" s="6" t="s">
        <v>727</v>
      </c>
      <c r="B227" s="7" t="s">
        <v>728</v>
      </c>
      <c r="C227" s="8">
        <v>1</v>
      </c>
      <c r="D227" s="9">
        <v>4.6500000000000004</v>
      </c>
      <c r="E227" s="9">
        <v>4.6500000000000004</v>
      </c>
      <c r="F227" s="10">
        <v>10.99</v>
      </c>
      <c r="G227" s="9">
        <v>10.99</v>
      </c>
      <c r="H227" s="8">
        <v>60359814</v>
      </c>
      <c r="I227" s="7" t="s">
        <v>3234</v>
      </c>
      <c r="J227" s="11" t="s">
        <v>3220</v>
      </c>
      <c r="K227" s="7" t="s">
        <v>3387</v>
      </c>
      <c r="L227" s="7" t="s">
        <v>3368</v>
      </c>
      <c r="M227" s="12" t="str">
        <f>HYPERLINK("http://slimages.macys.com/is/image/MCY/2308510 ")</f>
        <v xml:space="preserve">http://slimages.macys.com/is/image/MCY/2308510 </v>
      </c>
    </row>
    <row r="228" spans="1:13" ht="15.2" customHeight="1" x14ac:dyDescent="0.2">
      <c r="A228" s="6" t="s">
        <v>2852</v>
      </c>
      <c r="B228" s="7" t="s">
        <v>2853</v>
      </c>
      <c r="C228" s="8">
        <v>1</v>
      </c>
      <c r="D228" s="9">
        <v>4.6500000000000004</v>
      </c>
      <c r="E228" s="9">
        <v>4.6500000000000004</v>
      </c>
      <c r="F228" s="10">
        <v>10.99</v>
      </c>
      <c r="G228" s="9">
        <v>10.99</v>
      </c>
      <c r="H228" s="8">
        <v>60359814</v>
      </c>
      <c r="I228" s="7" t="s">
        <v>3185</v>
      </c>
      <c r="J228" s="11" t="s">
        <v>3220</v>
      </c>
      <c r="K228" s="7" t="s">
        <v>3387</v>
      </c>
      <c r="L228" s="7" t="s">
        <v>3368</v>
      </c>
      <c r="M228" s="12" t="str">
        <f>HYPERLINK("http://slimages.macys.com/is/image/MCY/2308508 ")</f>
        <v xml:space="preserve">http://slimages.macys.com/is/image/MCY/2308508 </v>
      </c>
    </row>
    <row r="229" spans="1:13" ht="15.2" customHeight="1" x14ac:dyDescent="0.2">
      <c r="A229" s="6" t="s">
        <v>1728</v>
      </c>
      <c r="B229" s="7" t="s">
        <v>1729</v>
      </c>
      <c r="C229" s="8">
        <v>1</v>
      </c>
      <c r="D229" s="9">
        <v>4.3499999999999996</v>
      </c>
      <c r="E229" s="9">
        <v>4.3499999999999996</v>
      </c>
      <c r="F229" s="10">
        <v>13.99</v>
      </c>
      <c r="G229" s="9">
        <v>13.99</v>
      </c>
      <c r="H229" s="8" t="s">
        <v>3756</v>
      </c>
      <c r="I229" s="7" t="s">
        <v>3252</v>
      </c>
      <c r="J229" s="11" t="s">
        <v>3220</v>
      </c>
      <c r="K229" s="7" t="s">
        <v>3387</v>
      </c>
      <c r="L229" s="7" t="s">
        <v>3409</v>
      </c>
      <c r="M229" s="12" t="str">
        <f>HYPERLINK("http://slimages.macys.com/is/image/MCY/3931147 ")</f>
        <v xml:space="preserve">http://slimages.macys.com/is/image/MCY/3931147 </v>
      </c>
    </row>
    <row r="230" spans="1:13" ht="15.2" customHeight="1" x14ac:dyDescent="0.2">
      <c r="A230" s="6" t="s">
        <v>3754</v>
      </c>
      <c r="B230" s="7" t="s">
        <v>3755</v>
      </c>
      <c r="C230" s="8">
        <v>1</v>
      </c>
      <c r="D230" s="9">
        <v>4.3499999999999996</v>
      </c>
      <c r="E230" s="9">
        <v>4.3499999999999996</v>
      </c>
      <c r="F230" s="10">
        <v>13.99</v>
      </c>
      <c r="G230" s="9">
        <v>13.99</v>
      </c>
      <c r="H230" s="8" t="s">
        <v>3756</v>
      </c>
      <c r="I230" s="7" t="s">
        <v>3203</v>
      </c>
      <c r="J230" s="11" t="s">
        <v>3231</v>
      </c>
      <c r="K230" s="7" t="s">
        <v>3387</v>
      </c>
      <c r="L230" s="7" t="s">
        <v>3409</v>
      </c>
      <c r="M230" s="12" t="str">
        <f>HYPERLINK("http://slimages.macys.com/is/image/MCY/3931147 ")</f>
        <v xml:space="preserve">http://slimages.macys.com/is/image/MCY/3931147 </v>
      </c>
    </row>
    <row r="231" spans="1:13" ht="15.2" customHeight="1" x14ac:dyDescent="0.2">
      <c r="A231" s="6" t="s">
        <v>976</v>
      </c>
      <c r="B231" s="7" t="s">
        <v>977</v>
      </c>
      <c r="C231" s="8">
        <v>1</v>
      </c>
      <c r="D231" s="9">
        <v>4.3499999999999996</v>
      </c>
      <c r="E231" s="9">
        <v>4.3499999999999996</v>
      </c>
      <c r="F231" s="10">
        <v>13.99</v>
      </c>
      <c r="G231" s="9">
        <v>13.99</v>
      </c>
      <c r="H231" s="8" t="s">
        <v>3756</v>
      </c>
      <c r="I231" s="7" t="s">
        <v>3185</v>
      </c>
      <c r="J231" s="11" t="s">
        <v>3202</v>
      </c>
      <c r="K231" s="7" t="s">
        <v>3387</v>
      </c>
      <c r="L231" s="7" t="s">
        <v>3409</v>
      </c>
      <c r="M231" s="12" t="str">
        <f>HYPERLINK("http://slimages.macys.com/is/image/MCY/3931147 ")</f>
        <v xml:space="preserve">http://slimages.macys.com/is/image/MCY/3931147 </v>
      </c>
    </row>
    <row r="232" spans="1:13" ht="15.2" customHeight="1" x14ac:dyDescent="0.2">
      <c r="A232" s="6" t="s">
        <v>978</v>
      </c>
      <c r="B232" s="7" t="s">
        <v>979</v>
      </c>
      <c r="C232" s="8">
        <v>1</v>
      </c>
      <c r="D232" s="9">
        <v>3.72</v>
      </c>
      <c r="E232" s="9">
        <v>3.72</v>
      </c>
      <c r="F232" s="10">
        <v>7.99</v>
      </c>
      <c r="G232" s="9">
        <v>7.99</v>
      </c>
      <c r="H232" s="8" t="s">
        <v>3484</v>
      </c>
      <c r="I232" s="7" t="s">
        <v>3219</v>
      </c>
      <c r="J232" s="11" t="s">
        <v>3202</v>
      </c>
      <c r="K232" s="7" t="s">
        <v>3387</v>
      </c>
      <c r="L232" s="7" t="s">
        <v>3409</v>
      </c>
      <c r="M232" s="12" t="str">
        <f>HYPERLINK("http://slimages.macys.com/is/image/MCY/3609979 ")</f>
        <v xml:space="preserve">http://slimages.macys.com/is/image/MCY/3609979 </v>
      </c>
    </row>
    <row r="233" spans="1:13" ht="15.2" customHeight="1" x14ac:dyDescent="0.2">
      <c r="A233" s="6" t="s">
        <v>1809</v>
      </c>
      <c r="B233" s="7" t="s">
        <v>1810</v>
      </c>
      <c r="C233" s="8">
        <v>2</v>
      </c>
      <c r="D233" s="9">
        <v>37</v>
      </c>
      <c r="E233" s="9">
        <v>74</v>
      </c>
      <c r="F233" s="10">
        <v>98</v>
      </c>
      <c r="G233" s="9">
        <v>196</v>
      </c>
      <c r="H233" s="8" t="s">
        <v>4149</v>
      </c>
      <c r="I233" s="7" t="s">
        <v>3640</v>
      </c>
      <c r="J233" s="11" t="s">
        <v>3202</v>
      </c>
      <c r="K233" s="7" t="s">
        <v>3198</v>
      </c>
      <c r="L233" s="7" t="s">
        <v>3199</v>
      </c>
      <c r="M233" s="12"/>
    </row>
    <row r="234" spans="1:13" ht="15.2" customHeight="1" x14ac:dyDescent="0.2">
      <c r="A234" s="6" t="s">
        <v>980</v>
      </c>
      <c r="B234" s="7" t="s">
        <v>452</v>
      </c>
      <c r="C234" s="8">
        <v>1</v>
      </c>
      <c r="D234" s="9">
        <v>33.369999999999997</v>
      </c>
      <c r="E234" s="9">
        <v>33.369999999999997</v>
      </c>
      <c r="F234" s="10">
        <v>89</v>
      </c>
      <c r="G234" s="9">
        <v>89</v>
      </c>
      <c r="H234" s="8">
        <v>7066407</v>
      </c>
      <c r="I234" s="7" t="s">
        <v>3321</v>
      </c>
      <c r="J234" s="11" t="s">
        <v>981</v>
      </c>
      <c r="K234" s="7" t="s">
        <v>3487</v>
      </c>
      <c r="L234" s="7" t="s">
        <v>3488</v>
      </c>
      <c r="M234" s="12"/>
    </row>
    <row r="235" spans="1:13" ht="15.2" customHeight="1" x14ac:dyDescent="0.2">
      <c r="A235" s="6" t="s">
        <v>982</v>
      </c>
      <c r="B235" s="7" t="s">
        <v>4332</v>
      </c>
      <c r="C235" s="8">
        <v>1</v>
      </c>
      <c r="D235" s="9">
        <v>30</v>
      </c>
      <c r="E235" s="9">
        <v>30</v>
      </c>
      <c r="F235" s="10">
        <v>79.5</v>
      </c>
      <c r="G235" s="9">
        <v>79.5</v>
      </c>
      <c r="H235" s="8" t="s">
        <v>4333</v>
      </c>
      <c r="I235" s="7" t="s">
        <v>3216</v>
      </c>
      <c r="J235" s="11" t="s">
        <v>3202</v>
      </c>
      <c r="K235" s="7" t="s">
        <v>3198</v>
      </c>
      <c r="L235" s="7" t="s">
        <v>3199</v>
      </c>
      <c r="M235" s="12"/>
    </row>
    <row r="236" spans="1:13" ht="15.2" customHeight="1" x14ac:dyDescent="0.2">
      <c r="A236" s="6" t="s">
        <v>983</v>
      </c>
      <c r="B236" s="7" t="s">
        <v>984</v>
      </c>
      <c r="C236" s="8">
        <v>1</v>
      </c>
      <c r="D236" s="9">
        <v>29.75</v>
      </c>
      <c r="E236" s="9">
        <v>29.75</v>
      </c>
      <c r="F236" s="10">
        <v>99</v>
      </c>
      <c r="G236" s="9">
        <v>99</v>
      </c>
      <c r="H236" s="8" t="s">
        <v>985</v>
      </c>
      <c r="I236" s="7" t="s">
        <v>3203</v>
      </c>
      <c r="J236" s="11" t="s">
        <v>3347</v>
      </c>
      <c r="K236" s="7" t="s">
        <v>3205</v>
      </c>
      <c r="L236" s="7" t="s">
        <v>2356</v>
      </c>
      <c r="M236" s="12"/>
    </row>
    <row r="237" spans="1:13" ht="15.2" customHeight="1" x14ac:dyDescent="0.2">
      <c r="A237" s="6" t="s">
        <v>684</v>
      </c>
      <c r="B237" s="7" t="s">
        <v>685</v>
      </c>
      <c r="C237" s="8">
        <v>1</v>
      </c>
      <c r="D237" s="9">
        <v>27</v>
      </c>
      <c r="E237" s="9">
        <v>27</v>
      </c>
      <c r="F237" s="10">
        <v>79</v>
      </c>
      <c r="G237" s="9">
        <v>79</v>
      </c>
      <c r="H237" s="8" t="s">
        <v>2294</v>
      </c>
      <c r="I237" s="7" t="s">
        <v>3185</v>
      </c>
      <c r="J237" s="11" t="s">
        <v>3240</v>
      </c>
      <c r="K237" s="7" t="s">
        <v>3205</v>
      </c>
      <c r="L237" s="7" t="s">
        <v>3206</v>
      </c>
      <c r="M237" s="12"/>
    </row>
    <row r="238" spans="1:13" ht="15.2" customHeight="1" x14ac:dyDescent="0.2">
      <c r="A238" s="6" t="s">
        <v>2447</v>
      </c>
      <c r="B238" s="7" t="s">
        <v>2448</v>
      </c>
      <c r="C238" s="8">
        <v>1</v>
      </c>
      <c r="D238" s="9">
        <v>26</v>
      </c>
      <c r="E238" s="9">
        <v>26</v>
      </c>
      <c r="F238" s="10">
        <v>79</v>
      </c>
      <c r="G238" s="9">
        <v>79</v>
      </c>
      <c r="H238" s="8" t="s">
        <v>3489</v>
      </c>
      <c r="I238" s="7" t="s">
        <v>3490</v>
      </c>
      <c r="J238" s="11" t="s">
        <v>3347</v>
      </c>
      <c r="K238" s="7" t="s">
        <v>3205</v>
      </c>
      <c r="L238" s="7" t="s">
        <v>3206</v>
      </c>
      <c r="M238" s="12"/>
    </row>
    <row r="239" spans="1:13" ht="15.2" customHeight="1" x14ac:dyDescent="0.2">
      <c r="A239" s="6" t="s">
        <v>986</v>
      </c>
      <c r="B239" s="7" t="s">
        <v>987</v>
      </c>
      <c r="C239" s="8">
        <v>1</v>
      </c>
      <c r="D239" s="9">
        <v>23.85</v>
      </c>
      <c r="E239" s="9">
        <v>23.85</v>
      </c>
      <c r="F239" s="10">
        <v>79.5</v>
      </c>
      <c r="G239" s="9">
        <v>79.5</v>
      </c>
      <c r="H239" s="8">
        <v>49022936</v>
      </c>
      <c r="I239" s="7" t="s">
        <v>3185</v>
      </c>
      <c r="J239" s="11" t="s">
        <v>3220</v>
      </c>
      <c r="K239" s="7" t="s">
        <v>3187</v>
      </c>
      <c r="L239" s="7" t="s">
        <v>3188</v>
      </c>
      <c r="M239" s="12"/>
    </row>
    <row r="240" spans="1:13" ht="15.2" customHeight="1" x14ac:dyDescent="0.2">
      <c r="A240" s="6" t="s">
        <v>2297</v>
      </c>
      <c r="B240" s="7" t="s">
        <v>2298</v>
      </c>
      <c r="C240" s="8">
        <v>1</v>
      </c>
      <c r="D240" s="9">
        <v>23.85</v>
      </c>
      <c r="E240" s="9">
        <v>23.85</v>
      </c>
      <c r="F240" s="10">
        <v>79.5</v>
      </c>
      <c r="G240" s="9">
        <v>79.5</v>
      </c>
      <c r="H240" s="8">
        <v>49022936</v>
      </c>
      <c r="I240" s="7" t="s">
        <v>3185</v>
      </c>
      <c r="J240" s="11" t="s">
        <v>3186</v>
      </c>
      <c r="K240" s="7" t="s">
        <v>3187</v>
      </c>
      <c r="L240" s="7" t="s">
        <v>3188</v>
      </c>
      <c r="M240" s="12"/>
    </row>
    <row r="241" spans="1:13" ht="15.2" customHeight="1" x14ac:dyDescent="0.2">
      <c r="A241" s="6" t="s">
        <v>469</v>
      </c>
      <c r="B241" s="7" t="s">
        <v>470</v>
      </c>
      <c r="C241" s="8">
        <v>1</v>
      </c>
      <c r="D241" s="9">
        <v>23.85</v>
      </c>
      <c r="E241" s="9">
        <v>23.85</v>
      </c>
      <c r="F241" s="10">
        <v>79.5</v>
      </c>
      <c r="G241" s="9">
        <v>79.5</v>
      </c>
      <c r="H241" s="8">
        <v>49022936</v>
      </c>
      <c r="I241" s="7" t="s">
        <v>3185</v>
      </c>
      <c r="J241" s="11" t="s">
        <v>3231</v>
      </c>
      <c r="K241" s="7" t="s">
        <v>3187</v>
      </c>
      <c r="L241" s="7" t="s">
        <v>3188</v>
      </c>
      <c r="M241" s="12"/>
    </row>
    <row r="242" spans="1:13" ht="15.2" customHeight="1" x14ac:dyDescent="0.2">
      <c r="A242" s="6" t="s">
        <v>988</v>
      </c>
      <c r="B242" s="7" t="s">
        <v>2449</v>
      </c>
      <c r="C242" s="8">
        <v>1</v>
      </c>
      <c r="D242" s="9">
        <v>23.68</v>
      </c>
      <c r="E242" s="9">
        <v>23.68</v>
      </c>
      <c r="F242" s="10">
        <v>64</v>
      </c>
      <c r="G242" s="9">
        <v>64</v>
      </c>
      <c r="H242" s="8" t="s">
        <v>2450</v>
      </c>
      <c r="I242" s="7" t="s">
        <v>3246</v>
      </c>
      <c r="J242" s="11" t="s">
        <v>3186</v>
      </c>
      <c r="K242" s="7" t="s">
        <v>3768</v>
      </c>
      <c r="L242" s="7" t="s">
        <v>3769</v>
      </c>
      <c r="M242" s="12"/>
    </row>
    <row r="243" spans="1:13" ht="15.2" customHeight="1" x14ac:dyDescent="0.2">
      <c r="A243" s="6" t="s">
        <v>989</v>
      </c>
      <c r="B243" s="7" t="s">
        <v>2449</v>
      </c>
      <c r="C243" s="8">
        <v>6</v>
      </c>
      <c r="D243" s="9">
        <v>23.68</v>
      </c>
      <c r="E243" s="9">
        <v>142.08000000000001</v>
      </c>
      <c r="F243" s="10">
        <v>64</v>
      </c>
      <c r="G243" s="9">
        <v>384</v>
      </c>
      <c r="H243" s="8" t="s">
        <v>2450</v>
      </c>
      <c r="I243" s="7" t="s">
        <v>3246</v>
      </c>
      <c r="J243" s="11" t="s">
        <v>3220</v>
      </c>
      <c r="K243" s="7" t="s">
        <v>3768</v>
      </c>
      <c r="L243" s="7" t="s">
        <v>3769</v>
      </c>
      <c r="M243" s="12"/>
    </row>
    <row r="244" spans="1:13" ht="15.2" customHeight="1" x14ac:dyDescent="0.2">
      <c r="A244" s="6" t="s">
        <v>990</v>
      </c>
      <c r="B244" s="7" t="s">
        <v>991</v>
      </c>
      <c r="C244" s="8">
        <v>1</v>
      </c>
      <c r="D244" s="9">
        <v>23</v>
      </c>
      <c r="E244" s="9">
        <v>23</v>
      </c>
      <c r="F244" s="10">
        <v>69</v>
      </c>
      <c r="G244" s="9">
        <v>69</v>
      </c>
      <c r="H244" s="8" t="s">
        <v>1736</v>
      </c>
      <c r="I244" s="7" t="s">
        <v>3433</v>
      </c>
      <c r="J244" s="11" t="s">
        <v>3240</v>
      </c>
      <c r="K244" s="7" t="s">
        <v>3205</v>
      </c>
      <c r="L244" s="7" t="s">
        <v>3632</v>
      </c>
      <c r="M244" s="12"/>
    </row>
    <row r="245" spans="1:13" ht="15.2" customHeight="1" x14ac:dyDescent="0.2">
      <c r="A245" s="6" t="s">
        <v>2872</v>
      </c>
      <c r="B245" s="7" t="s">
        <v>2873</v>
      </c>
      <c r="C245" s="8">
        <v>1</v>
      </c>
      <c r="D245" s="9">
        <v>21.86</v>
      </c>
      <c r="E245" s="9">
        <v>21.86</v>
      </c>
      <c r="F245" s="10">
        <v>59.99</v>
      </c>
      <c r="G245" s="9">
        <v>59.99</v>
      </c>
      <c r="H245" s="8" t="s">
        <v>2874</v>
      </c>
      <c r="I245" s="7" t="s">
        <v>3203</v>
      </c>
      <c r="J245" s="11" t="s">
        <v>3236</v>
      </c>
      <c r="K245" s="7" t="s">
        <v>3221</v>
      </c>
      <c r="L245" s="7" t="s">
        <v>3224</v>
      </c>
      <c r="M245" s="12"/>
    </row>
    <row r="246" spans="1:13" ht="15.2" customHeight="1" x14ac:dyDescent="0.2">
      <c r="A246" s="6" t="s">
        <v>2454</v>
      </c>
      <c r="B246" s="7" t="s">
        <v>2455</v>
      </c>
      <c r="C246" s="8">
        <v>1</v>
      </c>
      <c r="D246" s="9">
        <v>21</v>
      </c>
      <c r="E246" s="9">
        <v>21</v>
      </c>
      <c r="F246" s="10">
        <v>59.5</v>
      </c>
      <c r="G246" s="9">
        <v>59.5</v>
      </c>
      <c r="H246" s="8" t="s">
        <v>2453</v>
      </c>
      <c r="I246" s="7" t="s">
        <v>3185</v>
      </c>
      <c r="J246" s="11" t="s">
        <v>3231</v>
      </c>
      <c r="K246" s="7" t="s">
        <v>3232</v>
      </c>
      <c r="L246" s="7" t="s">
        <v>3233</v>
      </c>
      <c r="M246" s="12"/>
    </row>
    <row r="247" spans="1:13" ht="15.2" customHeight="1" x14ac:dyDescent="0.2">
      <c r="A247" s="6" t="s">
        <v>686</v>
      </c>
      <c r="B247" s="7" t="s">
        <v>687</v>
      </c>
      <c r="C247" s="8">
        <v>1</v>
      </c>
      <c r="D247" s="9">
        <v>20.52</v>
      </c>
      <c r="E247" s="9">
        <v>20.52</v>
      </c>
      <c r="F247" s="10">
        <v>59.5</v>
      </c>
      <c r="G247" s="9">
        <v>59.5</v>
      </c>
      <c r="H247" s="8" t="s">
        <v>2305</v>
      </c>
      <c r="I247" s="7" t="s">
        <v>3207</v>
      </c>
      <c r="J247" s="11" t="s">
        <v>3202</v>
      </c>
      <c r="K247" s="7" t="s">
        <v>3232</v>
      </c>
      <c r="L247" s="7" t="s">
        <v>3308</v>
      </c>
      <c r="M247" s="12"/>
    </row>
    <row r="248" spans="1:13" ht="15.2" customHeight="1" x14ac:dyDescent="0.2">
      <c r="A248" s="6" t="s">
        <v>688</v>
      </c>
      <c r="B248" s="7" t="s">
        <v>689</v>
      </c>
      <c r="C248" s="8">
        <v>1</v>
      </c>
      <c r="D248" s="9">
        <v>19.91</v>
      </c>
      <c r="E248" s="9">
        <v>19.91</v>
      </c>
      <c r="F248" s="10">
        <v>59.5</v>
      </c>
      <c r="G248" s="9">
        <v>59.5</v>
      </c>
      <c r="H248" s="8" t="s">
        <v>690</v>
      </c>
      <c r="I248" s="7" t="s">
        <v>3381</v>
      </c>
      <c r="J248" s="11" t="s">
        <v>3186</v>
      </c>
      <c r="K248" s="7" t="s">
        <v>3232</v>
      </c>
      <c r="L248" s="7" t="s">
        <v>3308</v>
      </c>
      <c r="M248" s="12"/>
    </row>
    <row r="249" spans="1:13" ht="15.2" customHeight="1" x14ac:dyDescent="0.2">
      <c r="A249" s="6" t="s">
        <v>992</v>
      </c>
      <c r="B249" s="7" t="s">
        <v>3501</v>
      </c>
      <c r="C249" s="8">
        <v>1</v>
      </c>
      <c r="D249" s="9">
        <v>19.8</v>
      </c>
      <c r="E249" s="9">
        <v>19.8</v>
      </c>
      <c r="F249" s="10">
        <v>49.5</v>
      </c>
      <c r="G249" s="9">
        <v>49.5</v>
      </c>
      <c r="H249" s="8" t="s">
        <v>3502</v>
      </c>
      <c r="I249" s="7" t="s">
        <v>3286</v>
      </c>
      <c r="J249" s="11" t="s">
        <v>3202</v>
      </c>
      <c r="K249" s="7" t="s">
        <v>3208</v>
      </c>
      <c r="L249" s="7" t="s">
        <v>3209</v>
      </c>
      <c r="M249" s="12"/>
    </row>
    <row r="250" spans="1:13" ht="15.2" customHeight="1" x14ac:dyDescent="0.2">
      <c r="A250" s="6" t="s">
        <v>3503</v>
      </c>
      <c r="B250" s="7" t="s">
        <v>3501</v>
      </c>
      <c r="C250" s="8">
        <v>1</v>
      </c>
      <c r="D250" s="9">
        <v>19.8</v>
      </c>
      <c r="E250" s="9">
        <v>19.8</v>
      </c>
      <c r="F250" s="10">
        <v>49.5</v>
      </c>
      <c r="G250" s="9">
        <v>49.5</v>
      </c>
      <c r="H250" s="8" t="s">
        <v>3502</v>
      </c>
      <c r="I250" s="7" t="s">
        <v>3286</v>
      </c>
      <c r="J250" s="11" t="s">
        <v>3186</v>
      </c>
      <c r="K250" s="7" t="s">
        <v>3208</v>
      </c>
      <c r="L250" s="7" t="s">
        <v>3209</v>
      </c>
      <c r="M250" s="12"/>
    </row>
    <row r="251" spans="1:13" ht="15.2" customHeight="1" x14ac:dyDescent="0.2">
      <c r="A251" s="6" t="s">
        <v>2879</v>
      </c>
      <c r="B251" s="7" t="s">
        <v>2880</v>
      </c>
      <c r="C251" s="8">
        <v>1</v>
      </c>
      <c r="D251" s="9">
        <v>19.5</v>
      </c>
      <c r="E251" s="9">
        <v>19.5</v>
      </c>
      <c r="F251" s="10">
        <v>59</v>
      </c>
      <c r="G251" s="9">
        <v>59</v>
      </c>
      <c r="H251" s="8" t="s">
        <v>2456</v>
      </c>
      <c r="I251" s="7" t="s">
        <v>3182</v>
      </c>
      <c r="J251" s="11" t="s">
        <v>3220</v>
      </c>
      <c r="K251" s="7" t="s">
        <v>3205</v>
      </c>
      <c r="L251" s="7" t="s">
        <v>3277</v>
      </c>
      <c r="M251" s="12"/>
    </row>
    <row r="252" spans="1:13" ht="15.2" customHeight="1" x14ac:dyDescent="0.2">
      <c r="A252" s="6" t="s">
        <v>993</v>
      </c>
      <c r="B252" s="7" t="s">
        <v>994</v>
      </c>
      <c r="C252" s="8">
        <v>1</v>
      </c>
      <c r="D252" s="9">
        <v>19.5</v>
      </c>
      <c r="E252" s="9">
        <v>19.5</v>
      </c>
      <c r="F252" s="10">
        <v>69</v>
      </c>
      <c r="G252" s="9">
        <v>69</v>
      </c>
      <c r="H252" s="8" t="s">
        <v>995</v>
      </c>
      <c r="I252" s="7"/>
      <c r="J252" s="11" t="s">
        <v>3213</v>
      </c>
      <c r="K252" s="7" t="s">
        <v>3281</v>
      </c>
      <c r="L252" s="7" t="s">
        <v>3322</v>
      </c>
      <c r="M252" s="12"/>
    </row>
    <row r="253" spans="1:13" ht="15.2" customHeight="1" x14ac:dyDescent="0.2">
      <c r="A253" s="6" t="s">
        <v>3762</v>
      </c>
      <c r="B253" s="7" t="s">
        <v>3763</v>
      </c>
      <c r="C253" s="8">
        <v>1</v>
      </c>
      <c r="D253" s="9">
        <v>18.420000000000002</v>
      </c>
      <c r="E253" s="9">
        <v>18.420000000000002</v>
      </c>
      <c r="F253" s="10">
        <v>49.5</v>
      </c>
      <c r="G253" s="9">
        <v>49.5</v>
      </c>
      <c r="H253" s="8" t="s">
        <v>3764</v>
      </c>
      <c r="I253" s="7" t="s">
        <v>3185</v>
      </c>
      <c r="J253" s="11" t="s">
        <v>3220</v>
      </c>
      <c r="K253" s="7" t="s">
        <v>3232</v>
      </c>
      <c r="L253" s="7" t="s">
        <v>3233</v>
      </c>
      <c r="M253" s="12"/>
    </row>
    <row r="254" spans="1:13" ht="15.2" customHeight="1" x14ac:dyDescent="0.2">
      <c r="A254" s="6" t="s">
        <v>1740</v>
      </c>
      <c r="B254" s="7" t="s">
        <v>3763</v>
      </c>
      <c r="C254" s="8">
        <v>1</v>
      </c>
      <c r="D254" s="9">
        <v>18.420000000000002</v>
      </c>
      <c r="E254" s="9">
        <v>18.420000000000002</v>
      </c>
      <c r="F254" s="10">
        <v>49.5</v>
      </c>
      <c r="G254" s="9">
        <v>49.5</v>
      </c>
      <c r="H254" s="8" t="s">
        <v>3764</v>
      </c>
      <c r="I254" s="7" t="s">
        <v>3185</v>
      </c>
      <c r="J254" s="11" t="s">
        <v>3231</v>
      </c>
      <c r="K254" s="7" t="s">
        <v>3232</v>
      </c>
      <c r="L254" s="7" t="s">
        <v>3233</v>
      </c>
      <c r="M254" s="12"/>
    </row>
    <row r="255" spans="1:13" ht="15.2" customHeight="1" x14ac:dyDescent="0.2">
      <c r="A255" s="6" t="s">
        <v>2071</v>
      </c>
      <c r="B255" s="7" t="s">
        <v>3509</v>
      </c>
      <c r="C255" s="8">
        <v>1</v>
      </c>
      <c r="D255" s="9">
        <v>18.07</v>
      </c>
      <c r="E255" s="9">
        <v>18.07</v>
      </c>
      <c r="F255" s="10">
        <v>49.5</v>
      </c>
      <c r="G255" s="9">
        <v>49.5</v>
      </c>
      <c r="H255" s="8" t="s">
        <v>3510</v>
      </c>
      <c r="I255" s="7" t="s">
        <v>3252</v>
      </c>
      <c r="J255" s="11" t="s">
        <v>3242</v>
      </c>
      <c r="K255" s="7" t="s">
        <v>3221</v>
      </c>
      <c r="L255" s="7" t="s">
        <v>3224</v>
      </c>
      <c r="M255" s="12"/>
    </row>
    <row r="256" spans="1:13" ht="15.2" customHeight="1" x14ac:dyDescent="0.2">
      <c r="A256" s="6" t="s">
        <v>996</v>
      </c>
      <c r="B256" s="7" t="s">
        <v>997</v>
      </c>
      <c r="C256" s="8">
        <v>1</v>
      </c>
      <c r="D256" s="9">
        <v>18</v>
      </c>
      <c r="E256" s="9">
        <v>18</v>
      </c>
      <c r="F256" s="10">
        <v>59</v>
      </c>
      <c r="G256" s="9">
        <v>59</v>
      </c>
      <c r="H256" s="8" t="s">
        <v>4022</v>
      </c>
      <c r="I256" s="7" t="s">
        <v>3234</v>
      </c>
      <c r="J256" s="11" t="s">
        <v>3271</v>
      </c>
      <c r="K256" s="7" t="s">
        <v>3205</v>
      </c>
      <c r="L256" s="7" t="s">
        <v>3206</v>
      </c>
      <c r="M256" s="12"/>
    </row>
    <row r="257" spans="1:13" ht="15.2" customHeight="1" x14ac:dyDescent="0.2">
      <c r="A257" s="6" t="s">
        <v>2895</v>
      </c>
      <c r="B257" s="7" t="s">
        <v>2896</v>
      </c>
      <c r="C257" s="8">
        <v>1</v>
      </c>
      <c r="D257" s="9">
        <v>17.850000000000001</v>
      </c>
      <c r="E257" s="9">
        <v>17.850000000000001</v>
      </c>
      <c r="F257" s="10">
        <v>59.5</v>
      </c>
      <c r="G257" s="9">
        <v>59.5</v>
      </c>
      <c r="H257" s="8">
        <v>49022935</v>
      </c>
      <c r="I257" s="7" t="s">
        <v>3185</v>
      </c>
      <c r="J257" s="11" t="s">
        <v>3186</v>
      </c>
      <c r="K257" s="7" t="s">
        <v>3187</v>
      </c>
      <c r="L257" s="7" t="s">
        <v>3188</v>
      </c>
      <c r="M257" s="12"/>
    </row>
    <row r="258" spans="1:13" ht="15.2" customHeight="1" x14ac:dyDescent="0.2">
      <c r="A258" s="6" t="s">
        <v>4345</v>
      </c>
      <c r="B258" s="7" t="s">
        <v>4343</v>
      </c>
      <c r="C258" s="8">
        <v>1</v>
      </c>
      <c r="D258" s="9">
        <v>17.72</v>
      </c>
      <c r="E258" s="9">
        <v>17.72</v>
      </c>
      <c r="F258" s="10">
        <v>49.5</v>
      </c>
      <c r="G258" s="9">
        <v>49.5</v>
      </c>
      <c r="H258" s="8" t="s">
        <v>4344</v>
      </c>
      <c r="I258" s="7" t="s">
        <v>3185</v>
      </c>
      <c r="J258" s="11" t="s">
        <v>3186</v>
      </c>
      <c r="K258" s="7" t="s">
        <v>3232</v>
      </c>
      <c r="L258" s="7" t="s">
        <v>3233</v>
      </c>
      <c r="M258" s="12"/>
    </row>
    <row r="259" spans="1:13" ht="15.2" customHeight="1" x14ac:dyDescent="0.2">
      <c r="A259" s="6" t="s">
        <v>998</v>
      </c>
      <c r="B259" s="7" t="s">
        <v>999</v>
      </c>
      <c r="C259" s="8">
        <v>1</v>
      </c>
      <c r="D259" s="9">
        <v>17.25</v>
      </c>
      <c r="E259" s="9">
        <v>17.25</v>
      </c>
      <c r="F259" s="10">
        <v>49</v>
      </c>
      <c r="G259" s="9">
        <v>49</v>
      </c>
      <c r="H259" s="8" t="s">
        <v>2072</v>
      </c>
      <c r="I259" s="7" t="s">
        <v>3428</v>
      </c>
      <c r="J259" s="11" t="s">
        <v>3231</v>
      </c>
      <c r="K259" s="7" t="s">
        <v>3217</v>
      </c>
      <c r="L259" s="7" t="s">
        <v>3218</v>
      </c>
      <c r="M259" s="12"/>
    </row>
    <row r="260" spans="1:13" ht="15.2" customHeight="1" x14ac:dyDescent="0.2">
      <c r="A260" s="6" t="s">
        <v>1000</v>
      </c>
      <c r="B260" s="7" t="s">
        <v>1001</v>
      </c>
      <c r="C260" s="8">
        <v>1</v>
      </c>
      <c r="D260" s="9">
        <v>17</v>
      </c>
      <c r="E260" s="9">
        <v>17</v>
      </c>
      <c r="F260" s="10">
        <v>42.99</v>
      </c>
      <c r="G260" s="9">
        <v>42.99</v>
      </c>
      <c r="H260" s="8" t="s">
        <v>1910</v>
      </c>
      <c r="I260" s="7" t="s">
        <v>3185</v>
      </c>
      <c r="J260" s="11" t="s">
        <v>3242</v>
      </c>
      <c r="K260" s="7" t="s">
        <v>3241</v>
      </c>
      <c r="L260" s="7" t="s">
        <v>3296</v>
      </c>
      <c r="M260" s="12"/>
    </row>
    <row r="261" spans="1:13" ht="15.2" customHeight="1" x14ac:dyDescent="0.2">
      <c r="A261" s="6" t="s">
        <v>1002</v>
      </c>
      <c r="B261" s="7" t="s">
        <v>1003</v>
      </c>
      <c r="C261" s="8">
        <v>1</v>
      </c>
      <c r="D261" s="9">
        <v>17</v>
      </c>
      <c r="E261" s="9">
        <v>17</v>
      </c>
      <c r="F261" s="10">
        <v>44.5</v>
      </c>
      <c r="G261" s="9">
        <v>44.5</v>
      </c>
      <c r="H261" s="8" t="s">
        <v>1004</v>
      </c>
      <c r="I261" s="7" t="s">
        <v>3216</v>
      </c>
      <c r="J261" s="11" t="s">
        <v>3220</v>
      </c>
      <c r="K261" s="7" t="s">
        <v>3198</v>
      </c>
      <c r="L261" s="7" t="s">
        <v>3199</v>
      </c>
      <c r="M261" s="12"/>
    </row>
    <row r="262" spans="1:13" ht="15.2" customHeight="1" x14ac:dyDescent="0.2">
      <c r="A262" s="6" t="s">
        <v>1814</v>
      </c>
      <c r="B262" s="7" t="s">
        <v>1815</v>
      </c>
      <c r="C262" s="8">
        <v>1</v>
      </c>
      <c r="D262" s="9">
        <v>16.91</v>
      </c>
      <c r="E262" s="9">
        <v>16.91</v>
      </c>
      <c r="F262" s="10">
        <v>39.5</v>
      </c>
      <c r="G262" s="9">
        <v>39.5</v>
      </c>
      <c r="H262" s="8" t="s">
        <v>2908</v>
      </c>
      <c r="I262" s="7" t="s">
        <v>3185</v>
      </c>
      <c r="J262" s="11" t="s">
        <v>3242</v>
      </c>
      <c r="K262" s="7" t="s">
        <v>3232</v>
      </c>
      <c r="L262" s="7" t="s">
        <v>3233</v>
      </c>
      <c r="M262" s="12"/>
    </row>
    <row r="263" spans="1:13" ht="15.2" customHeight="1" x14ac:dyDescent="0.2">
      <c r="A263" s="6" t="s">
        <v>2906</v>
      </c>
      <c r="B263" s="7" t="s">
        <v>2907</v>
      </c>
      <c r="C263" s="8">
        <v>1</v>
      </c>
      <c r="D263" s="9">
        <v>16.91</v>
      </c>
      <c r="E263" s="9">
        <v>16.91</v>
      </c>
      <c r="F263" s="10">
        <v>39.5</v>
      </c>
      <c r="G263" s="9">
        <v>39.5</v>
      </c>
      <c r="H263" s="8" t="s">
        <v>2908</v>
      </c>
      <c r="I263" s="7" t="s">
        <v>3185</v>
      </c>
      <c r="J263" s="11" t="s">
        <v>3236</v>
      </c>
      <c r="K263" s="7" t="s">
        <v>3232</v>
      </c>
      <c r="L263" s="7" t="s">
        <v>3233</v>
      </c>
      <c r="M263" s="12"/>
    </row>
    <row r="264" spans="1:13" ht="15.2" customHeight="1" x14ac:dyDescent="0.2">
      <c r="A264" s="6" t="s">
        <v>3773</v>
      </c>
      <c r="B264" s="7" t="s">
        <v>3774</v>
      </c>
      <c r="C264" s="8">
        <v>1</v>
      </c>
      <c r="D264" s="9">
        <v>16.75</v>
      </c>
      <c r="E264" s="9">
        <v>16.75</v>
      </c>
      <c r="F264" s="10">
        <v>41.99</v>
      </c>
      <c r="G264" s="9">
        <v>41.99</v>
      </c>
      <c r="H264" s="8" t="s">
        <v>3775</v>
      </c>
      <c r="I264" s="7" t="s">
        <v>3185</v>
      </c>
      <c r="J264" s="11" t="s">
        <v>3186</v>
      </c>
      <c r="K264" s="7" t="s">
        <v>3241</v>
      </c>
      <c r="L264" s="7" t="s">
        <v>3776</v>
      </c>
      <c r="M264" s="12"/>
    </row>
    <row r="265" spans="1:13" ht="15.2" customHeight="1" x14ac:dyDescent="0.2">
      <c r="A265" s="6" t="s">
        <v>1005</v>
      </c>
      <c r="B265" s="7" t="s">
        <v>4170</v>
      </c>
      <c r="C265" s="8">
        <v>1</v>
      </c>
      <c r="D265" s="9">
        <v>15.8</v>
      </c>
      <c r="E265" s="9">
        <v>15.8</v>
      </c>
      <c r="F265" s="10">
        <v>39.5</v>
      </c>
      <c r="G265" s="9">
        <v>39.5</v>
      </c>
      <c r="H265" s="8" t="s">
        <v>4171</v>
      </c>
      <c r="I265" s="7" t="s">
        <v>3286</v>
      </c>
      <c r="J265" s="11" t="s">
        <v>3242</v>
      </c>
      <c r="K265" s="7" t="s">
        <v>3208</v>
      </c>
      <c r="L265" s="7" t="s">
        <v>3209</v>
      </c>
      <c r="M265" s="12"/>
    </row>
    <row r="266" spans="1:13" ht="15.2" customHeight="1" x14ac:dyDescent="0.2">
      <c r="A266" s="6" t="s">
        <v>1744</v>
      </c>
      <c r="B266" s="7" t="s">
        <v>1745</v>
      </c>
      <c r="C266" s="8">
        <v>1</v>
      </c>
      <c r="D266" s="9">
        <v>15</v>
      </c>
      <c r="E266" s="9">
        <v>15</v>
      </c>
      <c r="F266" s="10">
        <v>49</v>
      </c>
      <c r="G266" s="9">
        <v>49</v>
      </c>
      <c r="H266" s="8" t="s">
        <v>2462</v>
      </c>
      <c r="I266" s="7" t="s">
        <v>3185</v>
      </c>
      <c r="J266" s="11" t="s">
        <v>3186</v>
      </c>
      <c r="K266" s="7" t="s">
        <v>3205</v>
      </c>
      <c r="L266" s="7" t="s">
        <v>3261</v>
      </c>
      <c r="M266" s="12"/>
    </row>
    <row r="267" spans="1:13" ht="15.2" customHeight="1" x14ac:dyDescent="0.2">
      <c r="A267" s="6" t="s">
        <v>1006</v>
      </c>
      <c r="B267" s="7" t="s">
        <v>1622</v>
      </c>
      <c r="C267" s="8">
        <v>2</v>
      </c>
      <c r="D267" s="9">
        <v>15</v>
      </c>
      <c r="E267" s="9">
        <v>30</v>
      </c>
      <c r="F267" s="10">
        <v>59</v>
      </c>
      <c r="G267" s="9">
        <v>118</v>
      </c>
      <c r="H267" s="8" t="s">
        <v>1623</v>
      </c>
      <c r="I267" s="7" t="s">
        <v>3390</v>
      </c>
      <c r="J267" s="11" t="s">
        <v>3186</v>
      </c>
      <c r="K267" s="7" t="s">
        <v>3205</v>
      </c>
      <c r="L267" s="7" t="s">
        <v>3826</v>
      </c>
      <c r="M267" s="12"/>
    </row>
    <row r="268" spans="1:13" ht="15.2" customHeight="1" x14ac:dyDescent="0.2">
      <c r="A268" s="6" t="s">
        <v>1007</v>
      </c>
      <c r="B268" s="7" t="s">
        <v>1913</v>
      </c>
      <c r="C268" s="8">
        <v>1</v>
      </c>
      <c r="D268" s="9">
        <v>14.65</v>
      </c>
      <c r="E268" s="9">
        <v>14.65</v>
      </c>
      <c r="F268" s="10">
        <v>34.99</v>
      </c>
      <c r="G268" s="9">
        <v>34.99</v>
      </c>
      <c r="H268" s="8" t="s">
        <v>1914</v>
      </c>
      <c r="I268" s="7" t="s">
        <v>3182</v>
      </c>
      <c r="J268" s="11" t="s">
        <v>3202</v>
      </c>
      <c r="K268" s="7" t="s">
        <v>3300</v>
      </c>
      <c r="L268" s="7" t="s">
        <v>3301</v>
      </c>
      <c r="M268" s="12"/>
    </row>
    <row r="269" spans="1:13" ht="15.2" customHeight="1" x14ac:dyDescent="0.2">
      <c r="A269" s="6" t="s">
        <v>1008</v>
      </c>
      <c r="B269" s="7" t="s">
        <v>1913</v>
      </c>
      <c r="C269" s="8">
        <v>1</v>
      </c>
      <c r="D269" s="9">
        <v>14.65</v>
      </c>
      <c r="E269" s="9">
        <v>14.65</v>
      </c>
      <c r="F269" s="10">
        <v>34.99</v>
      </c>
      <c r="G269" s="9">
        <v>34.99</v>
      </c>
      <c r="H269" s="8" t="s">
        <v>1914</v>
      </c>
      <c r="I269" s="7" t="s">
        <v>3182</v>
      </c>
      <c r="J269" s="11" t="s">
        <v>3242</v>
      </c>
      <c r="K269" s="7" t="s">
        <v>3300</v>
      </c>
      <c r="L269" s="7" t="s">
        <v>3301</v>
      </c>
      <c r="M269" s="12"/>
    </row>
    <row r="270" spans="1:13" ht="15.2" customHeight="1" x14ac:dyDescent="0.2">
      <c r="A270" s="6" t="s">
        <v>1009</v>
      </c>
      <c r="B270" s="7" t="s">
        <v>3783</v>
      </c>
      <c r="C270" s="8">
        <v>1</v>
      </c>
      <c r="D270" s="9">
        <v>14.65</v>
      </c>
      <c r="E270" s="9">
        <v>14.65</v>
      </c>
      <c r="F270" s="10">
        <v>34.99</v>
      </c>
      <c r="G270" s="9">
        <v>34.99</v>
      </c>
      <c r="H270" s="8" t="s">
        <v>3784</v>
      </c>
      <c r="I270" s="7" t="s">
        <v>3185</v>
      </c>
      <c r="J270" s="11" t="s">
        <v>3220</v>
      </c>
      <c r="K270" s="7" t="s">
        <v>3300</v>
      </c>
      <c r="L270" s="7" t="s">
        <v>3301</v>
      </c>
      <c r="M270" s="12"/>
    </row>
    <row r="271" spans="1:13" ht="15.2" customHeight="1" x14ac:dyDescent="0.2">
      <c r="A271" s="6" t="s">
        <v>691</v>
      </c>
      <c r="B271" s="7" t="s">
        <v>692</v>
      </c>
      <c r="C271" s="8">
        <v>1</v>
      </c>
      <c r="D271" s="9">
        <v>14.5</v>
      </c>
      <c r="E271" s="9">
        <v>14.5</v>
      </c>
      <c r="F271" s="10">
        <v>29.99</v>
      </c>
      <c r="G271" s="9">
        <v>29.99</v>
      </c>
      <c r="H271" s="8" t="s">
        <v>2009</v>
      </c>
      <c r="I271" s="7" t="s">
        <v>3210</v>
      </c>
      <c r="J271" s="11" t="s">
        <v>3340</v>
      </c>
      <c r="K271" s="7" t="s">
        <v>3326</v>
      </c>
      <c r="L271" s="7" t="s">
        <v>3550</v>
      </c>
      <c r="M271" s="12"/>
    </row>
    <row r="272" spans="1:13" ht="15.2" customHeight="1" x14ac:dyDescent="0.2">
      <c r="A272" s="6" t="s">
        <v>1746</v>
      </c>
      <c r="B272" s="7" t="s">
        <v>3536</v>
      </c>
      <c r="C272" s="8">
        <v>1</v>
      </c>
      <c r="D272" s="9">
        <v>14.42</v>
      </c>
      <c r="E272" s="9">
        <v>14.42</v>
      </c>
      <c r="F272" s="10">
        <v>39.5</v>
      </c>
      <c r="G272" s="9">
        <v>39.5</v>
      </c>
      <c r="H272" s="8" t="s">
        <v>3537</v>
      </c>
      <c r="I272" s="7" t="s">
        <v>3263</v>
      </c>
      <c r="J272" s="11" t="s">
        <v>3202</v>
      </c>
      <c r="K272" s="7" t="s">
        <v>3221</v>
      </c>
      <c r="L272" s="7" t="s">
        <v>3224</v>
      </c>
      <c r="M272" s="12"/>
    </row>
    <row r="273" spans="1:13" ht="15.2" customHeight="1" x14ac:dyDescent="0.2">
      <c r="A273" s="6" t="s">
        <v>4358</v>
      </c>
      <c r="B273" s="7" t="s">
        <v>3530</v>
      </c>
      <c r="C273" s="8">
        <v>2</v>
      </c>
      <c r="D273" s="9">
        <v>14.42</v>
      </c>
      <c r="E273" s="9">
        <v>28.84</v>
      </c>
      <c r="F273" s="10">
        <v>39.5</v>
      </c>
      <c r="G273" s="9">
        <v>79</v>
      </c>
      <c r="H273" s="8" t="s">
        <v>3531</v>
      </c>
      <c r="I273" s="7" t="s">
        <v>3203</v>
      </c>
      <c r="J273" s="11" t="s">
        <v>3202</v>
      </c>
      <c r="K273" s="7" t="s">
        <v>3221</v>
      </c>
      <c r="L273" s="7" t="s">
        <v>3224</v>
      </c>
      <c r="M273" s="12"/>
    </row>
    <row r="274" spans="1:13" ht="15.2" customHeight="1" x14ac:dyDescent="0.2">
      <c r="A274" s="6" t="s">
        <v>2010</v>
      </c>
      <c r="B274" s="7" t="s">
        <v>2011</v>
      </c>
      <c r="C274" s="8">
        <v>1</v>
      </c>
      <c r="D274" s="9">
        <v>14.42</v>
      </c>
      <c r="E274" s="9">
        <v>14.42</v>
      </c>
      <c r="F274" s="10">
        <v>39.5</v>
      </c>
      <c r="G274" s="9">
        <v>39.5</v>
      </c>
      <c r="H274" s="8" t="s">
        <v>3546</v>
      </c>
      <c r="I274" s="7" t="s">
        <v>3207</v>
      </c>
      <c r="J274" s="11" t="s">
        <v>3186</v>
      </c>
      <c r="K274" s="7" t="s">
        <v>3221</v>
      </c>
      <c r="L274" s="7" t="s">
        <v>3224</v>
      </c>
      <c r="M274" s="12"/>
    </row>
    <row r="275" spans="1:13" ht="15.2" customHeight="1" x14ac:dyDescent="0.2">
      <c r="A275" s="6" t="s">
        <v>4174</v>
      </c>
      <c r="B275" s="7" t="s">
        <v>4175</v>
      </c>
      <c r="C275" s="8">
        <v>1</v>
      </c>
      <c r="D275" s="9">
        <v>14.42</v>
      </c>
      <c r="E275" s="9">
        <v>14.42</v>
      </c>
      <c r="F275" s="10">
        <v>39.5</v>
      </c>
      <c r="G275" s="9">
        <v>39.5</v>
      </c>
      <c r="H275" s="8" t="s">
        <v>3546</v>
      </c>
      <c r="I275" s="7" t="s">
        <v>3207</v>
      </c>
      <c r="J275" s="11" t="s">
        <v>3220</v>
      </c>
      <c r="K275" s="7" t="s">
        <v>3221</v>
      </c>
      <c r="L275" s="7" t="s">
        <v>3224</v>
      </c>
      <c r="M275" s="12"/>
    </row>
    <row r="276" spans="1:13" ht="15.2" customHeight="1" x14ac:dyDescent="0.2">
      <c r="A276" s="6" t="s">
        <v>4035</v>
      </c>
      <c r="B276" s="7" t="s">
        <v>3536</v>
      </c>
      <c r="C276" s="8">
        <v>1</v>
      </c>
      <c r="D276" s="9">
        <v>14.42</v>
      </c>
      <c r="E276" s="9">
        <v>14.42</v>
      </c>
      <c r="F276" s="10">
        <v>39.5</v>
      </c>
      <c r="G276" s="9">
        <v>39.5</v>
      </c>
      <c r="H276" s="8" t="s">
        <v>3537</v>
      </c>
      <c r="I276" s="7" t="s">
        <v>3214</v>
      </c>
      <c r="J276" s="11" t="s">
        <v>3242</v>
      </c>
      <c r="K276" s="7" t="s">
        <v>3221</v>
      </c>
      <c r="L276" s="7" t="s">
        <v>3224</v>
      </c>
      <c r="M276" s="12"/>
    </row>
    <row r="277" spans="1:13" ht="15.2" customHeight="1" x14ac:dyDescent="0.2">
      <c r="A277" s="6" t="s">
        <v>731</v>
      </c>
      <c r="B277" s="7" t="s">
        <v>3530</v>
      </c>
      <c r="C277" s="8">
        <v>1</v>
      </c>
      <c r="D277" s="9">
        <v>14.42</v>
      </c>
      <c r="E277" s="9">
        <v>14.42</v>
      </c>
      <c r="F277" s="10">
        <v>39.5</v>
      </c>
      <c r="G277" s="9">
        <v>39.5</v>
      </c>
      <c r="H277" s="8" t="s">
        <v>3531</v>
      </c>
      <c r="I277" s="7" t="s">
        <v>3203</v>
      </c>
      <c r="J277" s="11" t="s">
        <v>3310</v>
      </c>
      <c r="K277" s="7" t="s">
        <v>3221</v>
      </c>
      <c r="L277" s="7" t="s">
        <v>3224</v>
      </c>
      <c r="M277" s="12"/>
    </row>
    <row r="278" spans="1:13" ht="15.2" customHeight="1" x14ac:dyDescent="0.2">
      <c r="A278" s="6" t="s">
        <v>693</v>
      </c>
      <c r="B278" s="7" t="s">
        <v>3530</v>
      </c>
      <c r="C278" s="8">
        <v>1</v>
      </c>
      <c r="D278" s="9">
        <v>14.42</v>
      </c>
      <c r="E278" s="9">
        <v>14.42</v>
      </c>
      <c r="F278" s="10">
        <v>39.5</v>
      </c>
      <c r="G278" s="9">
        <v>39.5</v>
      </c>
      <c r="H278" s="8" t="s">
        <v>3531</v>
      </c>
      <c r="I278" s="7" t="s">
        <v>3203</v>
      </c>
      <c r="J278" s="11" t="s">
        <v>3231</v>
      </c>
      <c r="K278" s="7" t="s">
        <v>3221</v>
      </c>
      <c r="L278" s="7" t="s">
        <v>3224</v>
      </c>
      <c r="M278" s="12"/>
    </row>
    <row r="279" spans="1:13" ht="15.2" customHeight="1" x14ac:dyDescent="0.2">
      <c r="A279" s="6" t="s">
        <v>1010</v>
      </c>
      <c r="B279" s="7" t="s">
        <v>3536</v>
      </c>
      <c r="C279" s="8">
        <v>1</v>
      </c>
      <c r="D279" s="9">
        <v>14.42</v>
      </c>
      <c r="E279" s="9">
        <v>14.42</v>
      </c>
      <c r="F279" s="10">
        <v>39.5</v>
      </c>
      <c r="G279" s="9">
        <v>39.5</v>
      </c>
      <c r="H279" s="8" t="s">
        <v>3537</v>
      </c>
      <c r="I279" s="7" t="s">
        <v>3263</v>
      </c>
      <c r="J279" s="11" t="s">
        <v>3231</v>
      </c>
      <c r="K279" s="7" t="s">
        <v>3221</v>
      </c>
      <c r="L279" s="7" t="s">
        <v>3224</v>
      </c>
      <c r="M279" s="12"/>
    </row>
    <row r="280" spans="1:13" ht="15.2" customHeight="1" x14ac:dyDescent="0.2">
      <c r="A280" s="6" t="s">
        <v>1011</v>
      </c>
      <c r="B280" s="7" t="s">
        <v>1012</v>
      </c>
      <c r="C280" s="8">
        <v>1</v>
      </c>
      <c r="D280" s="9">
        <v>14.42</v>
      </c>
      <c r="E280" s="9">
        <v>14.42</v>
      </c>
      <c r="F280" s="10">
        <v>39.5</v>
      </c>
      <c r="G280" s="9">
        <v>39.5</v>
      </c>
      <c r="H280" s="8" t="s">
        <v>1477</v>
      </c>
      <c r="I280" s="7" t="s">
        <v>3839</v>
      </c>
      <c r="J280" s="11" t="s">
        <v>3186</v>
      </c>
      <c r="K280" s="7" t="s">
        <v>3221</v>
      </c>
      <c r="L280" s="7" t="s">
        <v>3224</v>
      </c>
      <c r="M280" s="12"/>
    </row>
    <row r="281" spans="1:13" ht="15.2" customHeight="1" x14ac:dyDescent="0.2">
      <c r="A281" s="6" t="s">
        <v>3535</v>
      </c>
      <c r="B281" s="7" t="s">
        <v>3530</v>
      </c>
      <c r="C281" s="8">
        <v>1</v>
      </c>
      <c r="D281" s="9">
        <v>14.42</v>
      </c>
      <c r="E281" s="9">
        <v>14.42</v>
      </c>
      <c r="F281" s="10">
        <v>39.5</v>
      </c>
      <c r="G281" s="9">
        <v>39.5</v>
      </c>
      <c r="H281" s="8" t="s">
        <v>3531</v>
      </c>
      <c r="I281" s="7" t="s">
        <v>3386</v>
      </c>
      <c r="J281" s="11" t="s">
        <v>3220</v>
      </c>
      <c r="K281" s="7" t="s">
        <v>3221</v>
      </c>
      <c r="L281" s="7" t="s">
        <v>3224</v>
      </c>
      <c r="M281" s="12"/>
    </row>
    <row r="282" spans="1:13" ht="15.2" customHeight="1" x14ac:dyDescent="0.2">
      <c r="A282" s="6" t="s">
        <v>1013</v>
      </c>
      <c r="B282" s="7" t="s">
        <v>1014</v>
      </c>
      <c r="C282" s="8">
        <v>1</v>
      </c>
      <c r="D282" s="9">
        <v>14.1</v>
      </c>
      <c r="E282" s="9">
        <v>14.1</v>
      </c>
      <c r="F282" s="10">
        <v>39.5</v>
      </c>
      <c r="G282" s="9">
        <v>39.5</v>
      </c>
      <c r="H282" s="8" t="s">
        <v>4036</v>
      </c>
      <c r="I282" s="7" t="s">
        <v>3252</v>
      </c>
      <c r="J282" s="11" t="s">
        <v>3242</v>
      </c>
      <c r="K282" s="7" t="s">
        <v>3232</v>
      </c>
      <c r="L282" s="7" t="s">
        <v>3306</v>
      </c>
      <c r="M282" s="12"/>
    </row>
    <row r="283" spans="1:13" ht="15.2" customHeight="1" x14ac:dyDescent="0.2">
      <c r="A283" s="6" t="s">
        <v>1015</v>
      </c>
      <c r="B283" s="7" t="s">
        <v>1016</v>
      </c>
      <c r="C283" s="8">
        <v>1</v>
      </c>
      <c r="D283" s="9">
        <v>13.25</v>
      </c>
      <c r="E283" s="9">
        <v>13.25</v>
      </c>
      <c r="F283" s="10">
        <v>29.99</v>
      </c>
      <c r="G283" s="9">
        <v>29.99</v>
      </c>
      <c r="H283" s="8" t="s">
        <v>1917</v>
      </c>
      <c r="I283" s="7" t="s">
        <v>3185</v>
      </c>
      <c r="J283" s="11" t="s">
        <v>3347</v>
      </c>
      <c r="K283" s="7" t="s">
        <v>3326</v>
      </c>
      <c r="L283" s="7" t="s">
        <v>3868</v>
      </c>
      <c r="M283" s="12"/>
    </row>
    <row r="284" spans="1:13" ht="15.2" customHeight="1" x14ac:dyDescent="0.2">
      <c r="A284" s="6" t="s">
        <v>1017</v>
      </c>
      <c r="B284" s="7" t="s">
        <v>1018</v>
      </c>
      <c r="C284" s="8">
        <v>1</v>
      </c>
      <c r="D284" s="9">
        <v>13.25</v>
      </c>
      <c r="E284" s="9">
        <v>13.25</v>
      </c>
      <c r="F284" s="10">
        <v>29.99</v>
      </c>
      <c r="G284" s="9">
        <v>29.99</v>
      </c>
      <c r="H284" s="8" t="s">
        <v>1917</v>
      </c>
      <c r="I284" s="7" t="s">
        <v>3185</v>
      </c>
      <c r="J284" s="11" t="s">
        <v>3271</v>
      </c>
      <c r="K284" s="7" t="s">
        <v>3326</v>
      </c>
      <c r="L284" s="7" t="s">
        <v>3868</v>
      </c>
      <c r="M284" s="12"/>
    </row>
    <row r="285" spans="1:13" ht="15.2" customHeight="1" x14ac:dyDescent="0.2">
      <c r="A285" s="6" t="s">
        <v>1019</v>
      </c>
      <c r="B285" s="7" t="s">
        <v>526</v>
      </c>
      <c r="C285" s="8">
        <v>1</v>
      </c>
      <c r="D285" s="9">
        <v>13.25</v>
      </c>
      <c r="E285" s="9">
        <v>13.25</v>
      </c>
      <c r="F285" s="10">
        <v>29.99</v>
      </c>
      <c r="G285" s="9">
        <v>29.99</v>
      </c>
      <c r="H285" s="8" t="s">
        <v>527</v>
      </c>
      <c r="I285" s="7" t="s">
        <v>3234</v>
      </c>
      <c r="J285" s="11" t="s">
        <v>3347</v>
      </c>
      <c r="K285" s="7" t="s">
        <v>3326</v>
      </c>
      <c r="L285" s="7" t="s">
        <v>3868</v>
      </c>
      <c r="M285" s="12"/>
    </row>
    <row r="286" spans="1:13" ht="15.2" customHeight="1" x14ac:dyDescent="0.2">
      <c r="A286" s="6" t="s">
        <v>1020</v>
      </c>
      <c r="B286" s="7" t="s">
        <v>1021</v>
      </c>
      <c r="C286" s="8">
        <v>1</v>
      </c>
      <c r="D286" s="9">
        <v>13.05</v>
      </c>
      <c r="E286" s="9">
        <v>13.05</v>
      </c>
      <c r="F286" s="10">
        <v>34.99</v>
      </c>
      <c r="G286" s="9">
        <v>34.99</v>
      </c>
      <c r="H286" s="8" t="s">
        <v>532</v>
      </c>
      <c r="I286" s="7" t="s">
        <v>3182</v>
      </c>
      <c r="J286" s="11" t="s">
        <v>3331</v>
      </c>
      <c r="K286" s="7" t="s">
        <v>3326</v>
      </c>
      <c r="L286" s="7" t="s">
        <v>3391</v>
      </c>
      <c r="M286" s="12"/>
    </row>
    <row r="287" spans="1:13" ht="15.2" customHeight="1" x14ac:dyDescent="0.2">
      <c r="A287" s="6" t="s">
        <v>2320</v>
      </c>
      <c r="B287" s="7" t="s">
        <v>2321</v>
      </c>
      <c r="C287" s="8">
        <v>1</v>
      </c>
      <c r="D287" s="9">
        <v>12.5</v>
      </c>
      <c r="E287" s="9">
        <v>12.5</v>
      </c>
      <c r="F287" s="10">
        <v>29.99</v>
      </c>
      <c r="G287" s="9">
        <v>29.99</v>
      </c>
      <c r="H287" s="8" t="s">
        <v>2322</v>
      </c>
      <c r="I287" s="7" t="s">
        <v>3185</v>
      </c>
      <c r="J287" s="11" t="s">
        <v>3336</v>
      </c>
      <c r="K287" s="7" t="s">
        <v>3326</v>
      </c>
      <c r="L287" s="7" t="s">
        <v>3282</v>
      </c>
      <c r="M287" s="12"/>
    </row>
    <row r="288" spans="1:13" ht="15.2" customHeight="1" x14ac:dyDescent="0.2">
      <c r="A288" s="6" t="s">
        <v>1022</v>
      </c>
      <c r="B288" s="7" t="s">
        <v>1023</v>
      </c>
      <c r="C288" s="8">
        <v>1</v>
      </c>
      <c r="D288" s="9">
        <v>12.5</v>
      </c>
      <c r="E288" s="9">
        <v>12.5</v>
      </c>
      <c r="F288" s="10">
        <v>29.99</v>
      </c>
      <c r="G288" s="9">
        <v>29.99</v>
      </c>
      <c r="H288" s="8" t="s">
        <v>1920</v>
      </c>
      <c r="I288" s="7" t="s">
        <v>3364</v>
      </c>
      <c r="J288" s="11" t="s">
        <v>3240</v>
      </c>
      <c r="K288" s="7" t="s">
        <v>3326</v>
      </c>
      <c r="L288" s="7" t="s">
        <v>3282</v>
      </c>
      <c r="M288" s="12"/>
    </row>
    <row r="289" spans="1:13" ht="15.2" customHeight="1" x14ac:dyDescent="0.2">
      <c r="A289" s="6" t="s">
        <v>2324</v>
      </c>
      <c r="B289" s="7" t="s">
        <v>2325</v>
      </c>
      <c r="C289" s="8">
        <v>1</v>
      </c>
      <c r="D289" s="9">
        <v>12.4</v>
      </c>
      <c r="E289" s="9">
        <v>12.4</v>
      </c>
      <c r="F289" s="10">
        <v>27.99</v>
      </c>
      <c r="G289" s="9">
        <v>27.99</v>
      </c>
      <c r="H289" s="8" t="s">
        <v>2323</v>
      </c>
      <c r="I289" s="7" t="s">
        <v>3182</v>
      </c>
      <c r="J289" s="11" t="s">
        <v>3242</v>
      </c>
      <c r="K289" s="7" t="s">
        <v>3334</v>
      </c>
      <c r="L289" s="7" t="s">
        <v>3324</v>
      </c>
      <c r="M289" s="12"/>
    </row>
    <row r="290" spans="1:13" ht="15.2" customHeight="1" x14ac:dyDescent="0.2">
      <c r="A290" s="6" t="s">
        <v>3554</v>
      </c>
      <c r="B290" s="7" t="s">
        <v>3555</v>
      </c>
      <c r="C290" s="8">
        <v>1</v>
      </c>
      <c r="D290" s="9">
        <v>12.08</v>
      </c>
      <c r="E290" s="9">
        <v>12.08</v>
      </c>
      <c r="F290" s="10">
        <v>27.99</v>
      </c>
      <c r="G290" s="9">
        <v>27.99</v>
      </c>
      <c r="H290" s="8" t="s">
        <v>3556</v>
      </c>
      <c r="I290" s="7" t="s">
        <v>3185</v>
      </c>
      <c r="J290" s="11" t="s">
        <v>3231</v>
      </c>
      <c r="K290" s="7" t="s">
        <v>3343</v>
      </c>
      <c r="L290" s="7" t="s">
        <v>3354</v>
      </c>
      <c r="M290" s="12"/>
    </row>
    <row r="291" spans="1:13" ht="15.2" customHeight="1" x14ac:dyDescent="0.2">
      <c r="A291" s="6" t="s">
        <v>1024</v>
      </c>
      <c r="B291" s="7" t="s">
        <v>1025</v>
      </c>
      <c r="C291" s="8">
        <v>1</v>
      </c>
      <c r="D291" s="9">
        <v>12</v>
      </c>
      <c r="E291" s="9">
        <v>12</v>
      </c>
      <c r="F291" s="10">
        <v>29.98</v>
      </c>
      <c r="G291" s="9">
        <v>29.98</v>
      </c>
      <c r="H291" s="8" t="s">
        <v>1026</v>
      </c>
      <c r="I291" s="7" t="s">
        <v>3203</v>
      </c>
      <c r="J291" s="11" t="s">
        <v>3186</v>
      </c>
      <c r="K291" s="7" t="s">
        <v>3295</v>
      </c>
      <c r="L291" s="7" t="s">
        <v>3296</v>
      </c>
      <c r="M291" s="12"/>
    </row>
    <row r="292" spans="1:13" ht="15.2" customHeight="1" x14ac:dyDescent="0.2">
      <c r="A292" s="6" t="s">
        <v>1027</v>
      </c>
      <c r="B292" s="7" t="s">
        <v>1028</v>
      </c>
      <c r="C292" s="8">
        <v>1</v>
      </c>
      <c r="D292" s="9">
        <v>12</v>
      </c>
      <c r="E292" s="9">
        <v>12</v>
      </c>
      <c r="F292" s="10">
        <v>25.99</v>
      </c>
      <c r="G292" s="9">
        <v>25.99</v>
      </c>
      <c r="H292" s="8" t="s">
        <v>2074</v>
      </c>
      <c r="I292" s="7" t="s">
        <v>3237</v>
      </c>
      <c r="J292" s="11" t="s">
        <v>3336</v>
      </c>
      <c r="K292" s="7" t="s">
        <v>3326</v>
      </c>
      <c r="L292" s="7" t="s">
        <v>3282</v>
      </c>
      <c r="M292" s="12"/>
    </row>
    <row r="293" spans="1:13" ht="15.2" customHeight="1" x14ac:dyDescent="0.2">
      <c r="A293" s="6" t="s">
        <v>3787</v>
      </c>
      <c r="B293" s="7" t="s">
        <v>3788</v>
      </c>
      <c r="C293" s="8">
        <v>1</v>
      </c>
      <c r="D293" s="9">
        <v>12</v>
      </c>
      <c r="E293" s="9">
        <v>12</v>
      </c>
      <c r="F293" s="10">
        <v>39</v>
      </c>
      <c r="G293" s="9">
        <v>39</v>
      </c>
      <c r="H293" s="8">
        <v>90302</v>
      </c>
      <c r="I293" s="7" t="s">
        <v>3185</v>
      </c>
      <c r="J293" s="11" t="s">
        <v>3186</v>
      </c>
      <c r="K293" s="7" t="s">
        <v>3295</v>
      </c>
      <c r="L293" s="7" t="s">
        <v>3296</v>
      </c>
      <c r="M293" s="12"/>
    </row>
    <row r="294" spans="1:13" ht="15.2" customHeight="1" x14ac:dyDescent="0.2">
      <c r="A294" s="6" t="s">
        <v>1029</v>
      </c>
      <c r="B294" s="7" t="s">
        <v>1030</v>
      </c>
      <c r="C294" s="8">
        <v>1</v>
      </c>
      <c r="D294" s="9">
        <v>12</v>
      </c>
      <c r="E294" s="9">
        <v>12</v>
      </c>
      <c r="F294" s="10">
        <v>39</v>
      </c>
      <c r="G294" s="9">
        <v>39</v>
      </c>
      <c r="H294" s="8" t="s">
        <v>1031</v>
      </c>
      <c r="I294" s="7" t="s">
        <v>3185</v>
      </c>
      <c r="J294" s="11" t="s">
        <v>3202</v>
      </c>
      <c r="K294" s="7" t="s">
        <v>3295</v>
      </c>
      <c r="L294" s="7" t="s">
        <v>3296</v>
      </c>
      <c r="M294" s="12"/>
    </row>
    <row r="295" spans="1:13" ht="15.2" customHeight="1" x14ac:dyDescent="0.2">
      <c r="A295" s="6" t="s">
        <v>1032</v>
      </c>
      <c r="B295" s="7" t="s">
        <v>1033</v>
      </c>
      <c r="C295" s="8">
        <v>1</v>
      </c>
      <c r="D295" s="9">
        <v>11.5</v>
      </c>
      <c r="E295" s="9">
        <v>11.5</v>
      </c>
      <c r="F295" s="10">
        <v>25.99</v>
      </c>
      <c r="G295" s="9">
        <v>25.99</v>
      </c>
      <c r="H295" s="8" t="s">
        <v>3346</v>
      </c>
      <c r="I295" s="7"/>
      <c r="J295" s="11" t="s">
        <v>3271</v>
      </c>
      <c r="K295" s="7" t="s">
        <v>3326</v>
      </c>
      <c r="L295" s="7" t="s">
        <v>3282</v>
      </c>
      <c r="M295" s="12"/>
    </row>
    <row r="296" spans="1:13" ht="15.2" customHeight="1" x14ac:dyDescent="0.2">
      <c r="A296" s="6" t="s">
        <v>1034</v>
      </c>
      <c r="B296" s="7" t="s">
        <v>1035</v>
      </c>
      <c r="C296" s="8">
        <v>1</v>
      </c>
      <c r="D296" s="9">
        <v>11.5</v>
      </c>
      <c r="E296" s="9">
        <v>11.5</v>
      </c>
      <c r="F296" s="10">
        <v>25.99</v>
      </c>
      <c r="G296" s="9">
        <v>25.99</v>
      </c>
      <c r="H296" s="8" t="s">
        <v>3346</v>
      </c>
      <c r="I296" s="7"/>
      <c r="J296" s="11" t="s">
        <v>3240</v>
      </c>
      <c r="K296" s="7" t="s">
        <v>3326</v>
      </c>
      <c r="L296" s="7" t="s">
        <v>3282</v>
      </c>
      <c r="M296" s="12"/>
    </row>
    <row r="297" spans="1:13" ht="15.2" customHeight="1" x14ac:dyDescent="0.2">
      <c r="A297" s="6" t="s">
        <v>1036</v>
      </c>
      <c r="B297" s="7" t="s">
        <v>1037</v>
      </c>
      <c r="C297" s="8">
        <v>1</v>
      </c>
      <c r="D297" s="9">
        <v>11.5</v>
      </c>
      <c r="E297" s="9">
        <v>11.5</v>
      </c>
      <c r="F297" s="10">
        <v>25.99</v>
      </c>
      <c r="G297" s="9">
        <v>25.99</v>
      </c>
      <c r="H297" s="8" t="s">
        <v>3346</v>
      </c>
      <c r="I297" s="7" t="s">
        <v>3926</v>
      </c>
      <c r="J297" s="11" t="s">
        <v>3340</v>
      </c>
      <c r="K297" s="7" t="s">
        <v>3326</v>
      </c>
      <c r="L297" s="7" t="s">
        <v>3282</v>
      </c>
      <c r="M297" s="12"/>
    </row>
    <row r="298" spans="1:13" ht="15.2" customHeight="1" x14ac:dyDescent="0.2">
      <c r="A298" s="6" t="s">
        <v>2014</v>
      </c>
      <c r="B298" s="7" t="s">
        <v>2015</v>
      </c>
      <c r="C298" s="8">
        <v>1</v>
      </c>
      <c r="D298" s="9">
        <v>11.5</v>
      </c>
      <c r="E298" s="9">
        <v>11.5</v>
      </c>
      <c r="F298" s="10">
        <v>25.99</v>
      </c>
      <c r="G298" s="9">
        <v>25.99</v>
      </c>
      <c r="H298" s="8" t="s">
        <v>1827</v>
      </c>
      <c r="I298" s="7" t="s">
        <v>3421</v>
      </c>
      <c r="J298" s="11" t="s">
        <v>3351</v>
      </c>
      <c r="K298" s="7" t="s">
        <v>3326</v>
      </c>
      <c r="L298" s="7" t="s">
        <v>3679</v>
      </c>
      <c r="M298" s="12"/>
    </row>
    <row r="299" spans="1:13" ht="15.2" customHeight="1" x14ac:dyDescent="0.2">
      <c r="A299" s="6" t="s">
        <v>1038</v>
      </c>
      <c r="B299" s="7" t="s">
        <v>1039</v>
      </c>
      <c r="C299" s="8">
        <v>1</v>
      </c>
      <c r="D299" s="9">
        <v>11.5</v>
      </c>
      <c r="E299" s="9">
        <v>11.5</v>
      </c>
      <c r="F299" s="10">
        <v>25.99</v>
      </c>
      <c r="G299" s="9">
        <v>25.99</v>
      </c>
      <c r="H299" s="8" t="s">
        <v>3346</v>
      </c>
      <c r="I299" s="7" t="s">
        <v>3926</v>
      </c>
      <c r="J299" s="11" t="s">
        <v>3240</v>
      </c>
      <c r="K299" s="7" t="s">
        <v>3326</v>
      </c>
      <c r="L299" s="7" t="s">
        <v>3282</v>
      </c>
      <c r="M299" s="12"/>
    </row>
    <row r="300" spans="1:13" ht="15.2" customHeight="1" x14ac:dyDescent="0.2">
      <c r="A300" s="6" t="s">
        <v>1628</v>
      </c>
      <c r="B300" s="7" t="s">
        <v>1629</v>
      </c>
      <c r="C300" s="8">
        <v>1</v>
      </c>
      <c r="D300" s="9">
        <v>11.5</v>
      </c>
      <c r="E300" s="9">
        <v>11.5</v>
      </c>
      <c r="F300" s="10">
        <v>39</v>
      </c>
      <c r="G300" s="9">
        <v>39</v>
      </c>
      <c r="H300" s="8" t="s">
        <v>1497</v>
      </c>
      <c r="I300" s="7"/>
      <c r="J300" s="11" t="s">
        <v>3231</v>
      </c>
      <c r="K300" s="7" t="s">
        <v>3295</v>
      </c>
      <c r="L300" s="7" t="s">
        <v>3296</v>
      </c>
      <c r="M300" s="12"/>
    </row>
    <row r="301" spans="1:13" ht="15.2" customHeight="1" x14ac:dyDescent="0.2">
      <c r="A301" s="6" t="s">
        <v>557</v>
      </c>
      <c r="B301" s="7" t="s">
        <v>558</v>
      </c>
      <c r="C301" s="8">
        <v>1</v>
      </c>
      <c r="D301" s="9">
        <v>11.5</v>
      </c>
      <c r="E301" s="9">
        <v>11.5</v>
      </c>
      <c r="F301" s="10">
        <v>25.99</v>
      </c>
      <c r="G301" s="9">
        <v>25.99</v>
      </c>
      <c r="H301" s="8" t="s">
        <v>1827</v>
      </c>
      <c r="I301" s="7" t="s">
        <v>3421</v>
      </c>
      <c r="J301" s="11" t="s">
        <v>3204</v>
      </c>
      <c r="K301" s="7" t="s">
        <v>3326</v>
      </c>
      <c r="L301" s="7" t="s">
        <v>3679</v>
      </c>
      <c r="M301" s="12"/>
    </row>
    <row r="302" spans="1:13" ht="15.2" customHeight="1" x14ac:dyDescent="0.2">
      <c r="A302" s="6" t="s">
        <v>1828</v>
      </c>
      <c r="B302" s="7" t="s">
        <v>2326</v>
      </c>
      <c r="C302" s="8">
        <v>1</v>
      </c>
      <c r="D302" s="9">
        <v>11.5</v>
      </c>
      <c r="E302" s="9">
        <v>11.5</v>
      </c>
      <c r="F302" s="10">
        <v>39</v>
      </c>
      <c r="G302" s="9">
        <v>39</v>
      </c>
      <c r="H302" s="8" t="s">
        <v>2327</v>
      </c>
      <c r="I302" s="7" t="s">
        <v>3185</v>
      </c>
      <c r="J302" s="11" t="s">
        <v>3236</v>
      </c>
      <c r="K302" s="7" t="s">
        <v>3295</v>
      </c>
      <c r="L302" s="7" t="s">
        <v>3296</v>
      </c>
      <c r="M302" s="12"/>
    </row>
    <row r="303" spans="1:13" ht="15.2" customHeight="1" x14ac:dyDescent="0.2">
      <c r="A303" s="6" t="s">
        <v>4370</v>
      </c>
      <c r="B303" s="7" t="s">
        <v>4371</v>
      </c>
      <c r="C303" s="8">
        <v>1</v>
      </c>
      <c r="D303" s="9">
        <v>11</v>
      </c>
      <c r="E303" s="9">
        <v>11</v>
      </c>
      <c r="F303" s="10">
        <v>27.99</v>
      </c>
      <c r="G303" s="9">
        <v>27.99</v>
      </c>
      <c r="H303" s="8" t="s">
        <v>4367</v>
      </c>
      <c r="I303" s="7" t="s">
        <v>3214</v>
      </c>
      <c r="J303" s="11" t="s">
        <v>3186</v>
      </c>
      <c r="K303" s="7" t="s">
        <v>3343</v>
      </c>
      <c r="L303" s="7" t="s">
        <v>3367</v>
      </c>
      <c r="M303" s="12"/>
    </row>
    <row r="304" spans="1:13" ht="15.2" customHeight="1" x14ac:dyDescent="0.2">
      <c r="A304" s="6" t="s">
        <v>1502</v>
      </c>
      <c r="B304" s="7" t="s">
        <v>1503</v>
      </c>
      <c r="C304" s="8">
        <v>1</v>
      </c>
      <c r="D304" s="9">
        <v>11</v>
      </c>
      <c r="E304" s="9">
        <v>11</v>
      </c>
      <c r="F304" s="10">
        <v>27.99</v>
      </c>
      <c r="G304" s="9">
        <v>27.99</v>
      </c>
      <c r="H304" s="8" t="s">
        <v>4367</v>
      </c>
      <c r="I304" s="7" t="s">
        <v>3214</v>
      </c>
      <c r="J304" s="11" t="s">
        <v>3202</v>
      </c>
      <c r="K304" s="7" t="s">
        <v>3343</v>
      </c>
      <c r="L304" s="7" t="s">
        <v>3367</v>
      </c>
      <c r="M304" s="12"/>
    </row>
    <row r="305" spans="1:13" ht="15.2" customHeight="1" x14ac:dyDescent="0.2">
      <c r="A305" s="6" t="s">
        <v>732</v>
      </c>
      <c r="B305" s="7" t="s">
        <v>733</v>
      </c>
      <c r="C305" s="8">
        <v>1</v>
      </c>
      <c r="D305" s="9">
        <v>11</v>
      </c>
      <c r="E305" s="9">
        <v>11</v>
      </c>
      <c r="F305" s="10">
        <v>39</v>
      </c>
      <c r="G305" s="9">
        <v>39</v>
      </c>
      <c r="H305" s="8">
        <v>1050425</v>
      </c>
      <c r="I305" s="7" t="s">
        <v>3185</v>
      </c>
      <c r="J305" s="11" t="s">
        <v>3231</v>
      </c>
      <c r="K305" s="7" t="s">
        <v>3295</v>
      </c>
      <c r="L305" s="7" t="s">
        <v>3296</v>
      </c>
      <c r="M305" s="12"/>
    </row>
    <row r="306" spans="1:13" ht="15.2" customHeight="1" x14ac:dyDescent="0.2">
      <c r="A306" s="6" t="s">
        <v>1630</v>
      </c>
      <c r="B306" s="7" t="s">
        <v>1631</v>
      </c>
      <c r="C306" s="8">
        <v>1</v>
      </c>
      <c r="D306" s="9">
        <v>11</v>
      </c>
      <c r="E306" s="9">
        <v>11</v>
      </c>
      <c r="F306" s="10">
        <v>27.99</v>
      </c>
      <c r="G306" s="9">
        <v>27.99</v>
      </c>
      <c r="H306" s="8" t="s">
        <v>2974</v>
      </c>
      <c r="I306" s="7" t="s">
        <v>3237</v>
      </c>
      <c r="J306" s="11" t="s">
        <v>3186</v>
      </c>
      <c r="K306" s="7" t="s">
        <v>3343</v>
      </c>
      <c r="L306" s="7" t="s">
        <v>3367</v>
      </c>
      <c r="M306" s="12"/>
    </row>
    <row r="307" spans="1:13" ht="15.2" customHeight="1" x14ac:dyDescent="0.2">
      <c r="A307" s="6" t="s">
        <v>4372</v>
      </c>
      <c r="B307" s="7" t="s">
        <v>4373</v>
      </c>
      <c r="C307" s="8">
        <v>1</v>
      </c>
      <c r="D307" s="9">
        <v>10.6</v>
      </c>
      <c r="E307" s="9">
        <v>10.6</v>
      </c>
      <c r="F307" s="10">
        <v>24.99</v>
      </c>
      <c r="G307" s="9">
        <v>24.99</v>
      </c>
      <c r="H307" s="8" t="s">
        <v>3566</v>
      </c>
      <c r="I307" s="7" t="s">
        <v>3214</v>
      </c>
      <c r="J307" s="11" t="s">
        <v>3186</v>
      </c>
      <c r="K307" s="7" t="s">
        <v>3334</v>
      </c>
      <c r="L307" s="7" t="s">
        <v>3324</v>
      </c>
      <c r="M307" s="12"/>
    </row>
    <row r="308" spans="1:13" ht="15.2" customHeight="1" x14ac:dyDescent="0.2">
      <c r="A308" s="6" t="s">
        <v>579</v>
      </c>
      <c r="B308" s="7" t="s">
        <v>580</v>
      </c>
      <c r="C308" s="8">
        <v>1</v>
      </c>
      <c r="D308" s="9">
        <v>10.6</v>
      </c>
      <c r="E308" s="9">
        <v>10.6</v>
      </c>
      <c r="F308" s="10">
        <v>24.99</v>
      </c>
      <c r="G308" s="9">
        <v>24.99</v>
      </c>
      <c r="H308" s="8" t="s">
        <v>3566</v>
      </c>
      <c r="I308" s="7" t="s">
        <v>3214</v>
      </c>
      <c r="J308" s="11" t="s">
        <v>3220</v>
      </c>
      <c r="K308" s="7" t="s">
        <v>3334</v>
      </c>
      <c r="L308" s="7" t="s">
        <v>3324</v>
      </c>
      <c r="M308" s="12"/>
    </row>
    <row r="309" spans="1:13" ht="15.2" customHeight="1" x14ac:dyDescent="0.2">
      <c r="A309" s="6" t="s">
        <v>1040</v>
      </c>
      <c r="B309" s="7" t="s">
        <v>1041</v>
      </c>
      <c r="C309" s="8">
        <v>1</v>
      </c>
      <c r="D309" s="9">
        <v>10.6</v>
      </c>
      <c r="E309" s="9">
        <v>10.6</v>
      </c>
      <c r="F309" s="10">
        <v>24.99</v>
      </c>
      <c r="G309" s="9">
        <v>24.99</v>
      </c>
      <c r="H309" s="8" t="s">
        <v>3565</v>
      </c>
      <c r="I309" s="7" t="s">
        <v>3185</v>
      </c>
      <c r="J309" s="11" t="s">
        <v>3220</v>
      </c>
      <c r="K309" s="7" t="s">
        <v>3334</v>
      </c>
      <c r="L309" s="7" t="s">
        <v>3324</v>
      </c>
      <c r="M309" s="12"/>
    </row>
    <row r="310" spans="1:13" ht="15.2" customHeight="1" x14ac:dyDescent="0.2">
      <c r="A310" s="6" t="s">
        <v>3800</v>
      </c>
      <c r="B310" s="7" t="s">
        <v>3801</v>
      </c>
      <c r="C310" s="8">
        <v>1</v>
      </c>
      <c r="D310" s="9">
        <v>10.5</v>
      </c>
      <c r="E310" s="9">
        <v>10.5</v>
      </c>
      <c r="F310" s="10">
        <v>39</v>
      </c>
      <c r="G310" s="9">
        <v>39</v>
      </c>
      <c r="H310" s="8" t="s">
        <v>3802</v>
      </c>
      <c r="I310" s="7" t="s">
        <v>3185</v>
      </c>
      <c r="J310" s="11" t="s">
        <v>3202</v>
      </c>
      <c r="K310" s="7" t="s">
        <v>3295</v>
      </c>
      <c r="L310" s="7" t="s">
        <v>3296</v>
      </c>
      <c r="M310" s="12"/>
    </row>
    <row r="311" spans="1:13" ht="15.2" customHeight="1" x14ac:dyDescent="0.2">
      <c r="A311" s="6" t="s">
        <v>1042</v>
      </c>
      <c r="B311" s="7" t="s">
        <v>1043</v>
      </c>
      <c r="C311" s="8">
        <v>1</v>
      </c>
      <c r="D311" s="9">
        <v>10.5</v>
      </c>
      <c r="E311" s="9">
        <v>10.5</v>
      </c>
      <c r="F311" s="10">
        <v>19.989999999999998</v>
      </c>
      <c r="G311" s="9">
        <v>19.989999999999998</v>
      </c>
      <c r="H311" s="8" t="s">
        <v>2330</v>
      </c>
      <c r="I311" s="7"/>
      <c r="J311" s="11" t="s">
        <v>3242</v>
      </c>
      <c r="K311" s="7" t="s">
        <v>3326</v>
      </c>
      <c r="L311" s="7" t="s">
        <v>3360</v>
      </c>
      <c r="M311" s="12"/>
    </row>
    <row r="312" spans="1:13" ht="15.2" customHeight="1" x14ac:dyDescent="0.2">
      <c r="A312" s="6" t="s">
        <v>1044</v>
      </c>
      <c r="B312" s="7" t="s">
        <v>1045</v>
      </c>
      <c r="C312" s="8">
        <v>1</v>
      </c>
      <c r="D312" s="9">
        <v>10.5</v>
      </c>
      <c r="E312" s="9">
        <v>10.5</v>
      </c>
      <c r="F312" s="10">
        <v>39</v>
      </c>
      <c r="G312" s="9">
        <v>39</v>
      </c>
      <c r="H312" s="8">
        <v>1050436</v>
      </c>
      <c r="I312" s="7" t="s">
        <v>3252</v>
      </c>
      <c r="J312" s="11" t="s">
        <v>3202</v>
      </c>
      <c r="K312" s="7" t="s">
        <v>3295</v>
      </c>
      <c r="L312" s="7" t="s">
        <v>3296</v>
      </c>
      <c r="M312" s="12"/>
    </row>
    <row r="313" spans="1:13" ht="15.2" customHeight="1" x14ac:dyDescent="0.2">
      <c r="A313" s="6" t="s">
        <v>2328</v>
      </c>
      <c r="B313" s="7" t="s">
        <v>2329</v>
      </c>
      <c r="C313" s="8">
        <v>1</v>
      </c>
      <c r="D313" s="9">
        <v>10.5</v>
      </c>
      <c r="E313" s="9">
        <v>10.5</v>
      </c>
      <c r="F313" s="10">
        <v>24.99</v>
      </c>
      <c r="G313" s="9">
        <v>24.99</v>
      </c>
      <c r="H313" s="8" t="s">
        <v>3803</v>
      </c>
      <c r="I313" s="7" t="s">
        <v>3252</v>
      </c>
      <c r="J313" s="11" t="s">
        <v>3220</v>
      </c>
      <c r="K313" s="7" t="s">
        <v>3343</v>
      </c>
      <c r="L313" s="7" t="s">
        <v>3356</v>
      </c>
      <c r="M313" s="12"/>
    </row>
    <row r="314" spans="1:13" ht="15.2" customHeight="1" x14ac:dyDescent="0.2">
      <c r="A314" s="6" t="s">
        <v>2992</v>
      </c>
      <c r="B314" s="7" t="s">
        <v>2993</v>
      </c>
      <c r="C314" s="8">
        <v>1</v>
      </c>
      <c r="D314" s="9">
        <v>10.5</v>
      </c>
      <c r="E314" s="9">
        <v>10.5</v>
      </c>
      <c r="F314" s="10">
        <v>24.99</v>
      </c>
      <c r="G314" s="9">
        <v>24.99</v>
      </c>
      <c r="H314" s="8" t="s">
        <v>3567</v>
      </c>
      <c r="I314" s="7" t="s">
        <v>3216</v>
      </c>
      <c r="J314" s="11" t="s">
        <v>3220</v>
      </c>
      <c r="K314" s="7" t="s">
        <v>3300</v>
      </c>
      <c r="L314" s="7" t="s">
        <v>3301</v>
      </c>
      <c r="M314" s="12"/>
    </row>
    <row r="315" spans="1:13" ht="15.2" customHeight="1" x14ac:dyDescent="0.2">
      <c r="A315" s="6" t="s">
        <v>736</v>
      </c>
      <c r="B315" s="7" t="s">
        <v>737</v>
      </c>
      <c r="C315" s="8">
        <v>1</v>
      </c>
      <c r="D315" s="9">
        <v>10</v>
      </c>
      <c r="E315" s="9">
        <v>10</v>
      </c>
      <c r="F315" s="10">
        <v>24.99</v>
      </c>
      <c r="G315" s="9">
        <v>24.99</v>
      </c>
      <c r="H315" s="8" t="s">
        <v>1639</v>
      </c>
      <c r="I315" s="7" t="s">
        <v>3210</v>
      </c>
      <c r="J315" s="11" t="s">
        <v>3186</v>
      </c>
      <c r="K315" s="7" t="s">
        <v>3343</v>
      </c>
      <c r="L315" s="7" t="s">
        <v>3356</v>
      </c>
      <c r="M315" s="12"/>
    </row>
    <row r="316" spans="1:13" ht="15.2" customHeight="1" x14ac:dyDescent="0.2">
      <c r="A316" s="6" t="s">
        <v>1640</v>
      </c>
      <c r="B316" s="7" t="s">
        <v>1641</v>
      </c>
      <c r="C316" s="8">
        <v>1</v>
      </c>
      <c r="D316" s="9">
        <v>10</v>
      </c>
      <c r="E316" s="9">
        <v>10</v>
      </c>
      <c r="F316" s="10">
        <v>24.99</v>
      </c>
      <c r="G316" s="9">
        <v>24.99</v>
      </c>
      <c r="H316" s="8" t="s">
        <v>4380</v>
      </c>
      <c r="I316" s="7" t="s">
        <v>3381</v>
      </c>
      <c r="J316" s="11" t="s">
        <v>3186</v>
      </c>
      <c r="K316" s="7" t="s">
        <v>3343</v>
      </c>
      <c r="L316" s="7" t="s">
        <v>3324</v>
      </c>
      <c r="M316" s="12"/>
    </row>
    <row r="317" spans="1:13" ht="15.2" customHeight="1" x14ac:dyDescent="0.2">
      <c r="A317" s="6" t="s">
        <v>1046</v>
      </c>
      <c r="B317" s="7" t="s">
        <v>1047</v>
      </c>
      <c r="C317" s="8">
        <v>2</v>
      </c>
      <c r="D317" s="9">
        <v>10</v>
      </c>
      <c r="E317" s="9">
        <v>20</v>
      </c>
      <c r="F317" s="10">
        <v>24.99</v>
      </c>
      <c r="G317" s="9">
        <v>49.98</v>
      </c>
      <c r="H317" s="8" t="s">
        <v>3806</v>
      </c>
      <c r="I317" s="7" t="s">
        <v>3394</v>
      </c>
      <c r="J317" s="11" t="s">
        <v>3202</v>
      </c>
      <c r="K317" s="7" t="s">
        <v>3323</v>
      </c>
      <c r="L317" s="7" t="s">
        <v>3418</v>
      </c>
      <c r="M317" s="12"/>
    </row>
    <row r="318" spans="1:13" ht="15.2" customHeight="1" x14ac:dyDescent="0.2">
      <c r="A318" s="6" t="s">
        <v>1832</v>
      </c>
      <c r="B318" s="7" t="s">
        <v>1833</v>
      </c>
      <c r="C318" s="8">
        <v>1</v>
      </c>
      <c r="D318" s="9">
        <v>10</v>
      </c>
      <c r="E318" s="9">
        <v>10</v>
      </c>
      <c r="F318" s="10">
        <v>24.99</v>
      </c>
      <c r="G318" s="9">
        <v>24.99</v>
      </c>
      <c r="H318" s="8" t="s">
        <v>1639</v>
      </c>
      <c r="I318" s="7" t="s">
        <v>3339</v>
      </c>
      <c r="J318" s="11" t="s">
        <v>3186</v>
      </c>
      <c r="K318" s="7" t="s">
        <v>3343</v>
      </c>
      <c r="L318" s="7" t="s">
        <v>3356</v>
      </c>
      <c r="M318" s="12"/>
    </row>
    <row r="319" spans="1:13" ht="15.2" customHeight="1" x14ac:dyDescent="0.2">
      <c r="A319" s="6" t="s">
        <v>1048</v>
      </c>
      <c r="B319" s="7" t="s">
        <v>1049</v>
      </c>
      <c r="C319" s="8">
        <v>2</v>
      </c>
      <c r="D319" s="9">
        <v>10</v>
      </c>
      <c r="E319" s="9">
        <v>20</v>
      </c>
      <c r="F319" s="10">
        <v>24.99</v>
      </c>
      <c r="G319" s="9">
        <v>49.98</v>
      </c>
      <c r="H319" s="8" t="s">
        <v>1050</v>
      </c>
      <c r="I319" s="7" t="s">
        <v>3339</v>
      </c>
      <c r="J319" s="11" t="s">
        <v>3202</v>
      </c>
      <c r="K319" s="7" t="s">
        <v>3323</v>
      </c>
      <c r="L319" s="7" t="s">
        <v>3418</v>
      </c>
      <c r="M319" s="12"/>
    </row>
    <row r="320" spans="1:13" ht="15.2" customHeight="1" x14ac:dyDescent="0.2">
      <c r="A320" s="6" t="s">
        <v>1929</v>
      </c>
      <c r="B320" s="7" t="s">
        <v>1930</v>
      </c>
      <c r="C320" s="8">
        <v>1</v>
      </c>
      <c r="D320" s="9">
        <v>10</v>
      </c>
      <c r="E320" s="9">
        <v>10</v>
      </c>
      <c r="F320" s="10">
        <v>24.99</v>
      </c>
      <c r="G320" s="9">
        <v>24.99</v>
      </c>
      <c r="H320" s="8" t="s">
        <v>1639</v>
      </c>
      <c r="I320" s="7" t="s">
        <v>3339</v>
      </c>
      <c r="J320" s="11" t="s">
        <v>3220</v>
      </c>
      <c r="K320" s="7" t="s">
        <v>3343</v>
      </c>
      <c r="L320" s="7" t="s">
        <v>3356</v>
      </c>
      <c r="M320" s="12"/>
    </row>
    <row r="321" spans="1:13" ht="15.2" customHeight="1" x14ac:dyDescent="0.2">
      <c r="A321" s="6" t="s">
        <v>1637</v>
      </c>
      <c r="B321" s="7" t="s">
        <v>1638</v>
      </c>
      <c r="C321" s="8">
        <v>1</v>
      </c>
      <c r="D321" s="9">
        <v>10</v>
      </c>
      <c r="E321" s="9">
        <v>10</v>
      </c>
      <c r="F321" s="10">
        <v>24.99</v>
      </c>
      <c r="G321" s="9">
        <v>24.99</v>
      </c>
      <c r="H321" s="8" t="s">
        <v>1639</v>
      </c>
      <c r="I321" s="7" t="s">
        <v>3257</v>
      </c>
      <c r="J321" s="11" t="s">
        <v>3242</v>
      </c>
      <c r="K321" s="7" t="s">
        <v>3343</v>
      </c>
      <c r="L321" s="7" t="s">
        <v>3356</v>
      </c>
      <c r="M321" s="12"/>
    </row>
    <row r="322" spans="1:13" ht="15.2" customHeight="1" x14ac:dyDescent="0.2">
      <c r="A322" s="6" t="s">
        <v>1051</v>
      </c>
      <c r="B322" s="7" t="s">
        <v>1052</v>
      </c>
      <c r="C322" s="8">
        <v>1</v>
      </c>
      <c r="D322" s="9">
        <v>10</v>
      </c>
      <c r="E322" s="9">
        <v>10</v>
      </c>
      <c r="F322" s="10">
        <v>24.99</v>
      </c>
      <c r="G322" s="9">
        <v>24.99</v>
      </c>
      <c r="H322" s="8" t="s">
        <v>4376</v>
      </c>
      <c r="I322" s="7" t="s">
        <v>3416</v>
      </c>
      <c r="J322" s="11" t="s">
        <v>3220</v>
      </c>
      <c r="K322" s="7" t="s">
        <v>3323</v>
      </c>
      <c r="L322" s="7" t="s">
        <v>3418</v>
      </c>
      <c r="M322" s="12"/>
    </row>
    <row r="323" spans="1:13" ht="15.2" customHeight="1" x14ac:dyDescent="0.2">
      <c r="A323" s="6" t="s">
        <v>1053</v>
      </c>
      <c r="B323" s="7" t="s">
        <v>1054</v>
      </c>
      <c r="C323" s="8">
        <v>1</v>
      </c>
      <c r="D323" s="9">
        <v>10</v>
      </c>
      <c r="E323" s="9">
        <v>10</v>
      </c>
      <c r="F323" s="10">
        <v>34</v>
      </c>
      <c r="G323" s="9">
        <v>34</v>
      </c>
      <c r="H323" s="8" t="s">
        <v>1055</v>
      </c>
      <c r="I323" s="7"/>
      <c r="J323" s="11" t="s">
        <v>3202</v>
      </c>
      <c r="K323" s="7" t="s">
        <v>3295</v>
      </c>
      <c r="L323" s="7" t="s">
        <v>3296</v>
      </c>
      <c r="M323" s="12"/>
    </row>
    <row r="324" spans="1:13" ht="15.2" customHeight="1" x14ac:dyDescent="0.2">
      <c r="A324" s="6" t="s">
        <v>1056</v>
      </c>
      <c r="B324" s="7" t="s">
        <v>1057</v>
      </c>
      <c r="C324" s="8">
        <v>1</v>
      </c>
      <c r="D324" s="9">
        <v>9.8000000000000007</v>
      </c>
      <c r="E324" s="9">
        <v>9.8000000000000007</v>
      </c>
      <c r="F324" s="10">
        <v>19.989999999999998</v>
      </c>
      <c r="G324" s="9">
        <v>19.989999999999998</v>
      </c>
      <c r="H324" s="8" t="s">
        <v>1058</v>
      </c>
      <c r="I324" s="7" t="s">
        <v>3321</v>
      </c>
      <c r="J324" s="11" t="s">
        <v>3242</v>
      </c>
      <c r="K324" s="7" t="s">
        <v>3323</v>
      </c>
      <c r="L324" s="7" t="s">
        <v>3344</v>
      </c>
      <c r="M324" s="12"/>
    </row>
    <row r="325" spans="1:13" ht="15.2" customHeight="1" x14ac:dyDescent="0.2">
      <c r="A325" s="6" t="s">
        <v>3810</v>
      </c>
      <c r="B325" s="7" t="s">
        <v>3811</v>
      </c>
      <c r="C325" s="8">
        <v>2</v>
      </c>
      <c r="D325" s="9">
        <v>9.8000000000000007</v>
      </c>
      <c r="E325" s="9">
        <v>19.600000000000001</v>
      </c>
      <c r="F325" s="10">
        <v>19.989999999999998</v>
      </c>
      <c r="G325" s="9">
        <v>39.979999999999997</v>
      </c>
      <c r="H325" s="8" t="s">
        <v>3812</v>
      </c>
      <c r="I325" s="7" t="s">
        <v>3432</v>
      </c>
      <c r="J325" s="11" t="s">
        <v>3202</v>
      </c>
      <c r="K325" s="7" t="s">
        <v>3323</v>
      </c>
      <c r="L325" s="7" t="s">
        <v>3344</v>
      </c>
      <c r="M325" s="12"/>
    </row>
    <row r="326" spans="1:13" ht="15.2" customHeight="1" x14ac:dyDescent="0.2">
      <c r="A326" s="6" t="s">
        <v>1059</v>
      </c>
      <c r="B326" s="7" t="s">
        <v>1060</v>
      </c>
      <c r="C326" s="8">
        <v>1</v>
      </c>
      <c r="D326" s="9">
        <v>9.8000000000000007</v>
      </c>
      <c r="E326" s="9">
        <v>9.8000000000000007</v>
      </c>
      <c r="F326" s="10">
        <v>19.989999999999998</v>
      </c>
      <c r="G326" s="9">
        <v>19.989999999999998</v>
      </c>
      <c r="H326" s="8" t="s">
        <v>1061</v>
      </c>
      <c r="I326" s="7" t="s">
        <v>3364</v>
      </c>
      <c r="J326" s="11" t="s">
        <v>3242</v>
      </c>
      <c r="K326" s="7" t="s">
        <v>3323</v>
      </c>
      <c r="L326" s="7" t="s">
        <v>3344</v>
      </c>
      <c r="M326" s="12"/>
    </row>
    <row r="327" spans="1:13" ht="15.2" customHeight="1" x14ac:dyDescent="0.2">
      <c r="A327" s="6" t="s">
        <v>1062</v>
      </c>
      <c r="B327" s="7" t="s">
        <v>1063</v>
      </c>
      <c r="C327" s="8">
        <v>1</v>
      </c>
      <c r="D327" s="9">
        <v>9.8000000000000007</v>
      </c>
      <c r="E327" s="9">
        <v>9.8000000000000007</v>
      </c>
      <c r="F327" s="10">
        <v>19.989999999999998</v>
      </c>
      <c r="G327" s="9">
        <v>19.989999999999998</v>
      </c>
      <c r="H327" s="8" t="s">
        <v>1935</v>
      </c>
      <c r="I327" s="7" t="s">
        <v>3185</v>
      </c>
      <c r="J327" s="11" t="s">
        <v>3231</v>
      </c>
      <c r="K327" s="7" t="s">
        <v>3323</v>
      </c>
      <c r="L327" s="7" t="s">
        <v>3344</v>
      </c>
      <c r="M327" s="12"/>
    </row>
    <row r="328" spans="1:13" ht="15.2" customHeight="1" x14ac:dyDescent="0.2">
      <c r="A328" s="6" t="s">
        <v>3000</v>
      </c>
      <c r="B328" s="7" t="s">
        <v>3001</v>
      </c>
      <c r="C328" s="8">
        <v>1</v>
      </c>
      <c r="D328" s="9">
        <v>9.8000000000000007</v>
      </c>
      <c r="E328" s="9">
        <v>9.8000000000000007</v>
      </c>
      <c r="F328" s="10">
        <v>19.989999999999998</v>
      </c>
      <c r="G328" s="9">
        <v>19.989999999999998</v>
      </c>
      <c r="H328" s="8" t="s">
        <v>3809</v>
      </c>
      <c r="I328" s="7" t="s">
        <v>3321</v>
      </c>
      <c r="J328" s="11" t="s">
        <v>3220</v>
      </c>
      <c r="K328" s="7" t="s">
        <v>3323</v>
      </c>
      <c r="L328" s="7" t="s">
        <v>3344</v>
      </c>
      <c r="M328" s="12"/>
    </row>
    <row r="329" spans="1:13" ht="15.2" customHeight="1" x14ac:dyDescent="0.2">
      <c r="A329" s="6" t="s">
        <v>3002</v>
      </c>
      <c r="B329" s="7" t="s">
        <v>3003</v>
      </c>
      <c r="C329" s="8">
        <v>1</v>
      </c>
      <c r="D329" s="9">
        <v>9.8000000000000007</v>
      </c>
      <c r="E329" s="9">
        <v>9.8000000000000007</v>
      </c>
      <c r="F329" s="10">
        <v>19.989999999999998</v>
      </c>
      <c r="G329" s="9">
        <v>19.989999999999998</v>
      </c>
      <c r="H329" s="8" t="s">
        <v>3004</v>
      </c>
      <c r="I329" s="7" t="s">
        <v>3210</v>
      </c>
      <c r="J329" s="11" t="s">
        <v>3220</v>
      </c>
      <c r="K329" s="7" t="s">
        <v>3323</v>
      </c>
      <c r="L329" s="7" t="s">
        <v>3344</v>
      </c>
      <c r="M329" s="12"/>
    </row>
    <row r="330" spans="1:13" ht="15.2" customHeight="1" x14ac:dyDescent="0.2">
      <c r="A330" s="6" t="s">
        <v>1064</v>
      </c>
      <c r="B330" s="7" t="s">
        <v>1065</v>
      </c>
      <c r="C330" s="8">
        <v>1</v>
      </c>
      <c r="D330" s="9">
        <v>9.75</v>
      </c>
      <c r="E330" s="9">
        <v>9.75</v>
      </c>
      <c r="F330" s="10">
        <v>27.99</v>
      </c>
      <c r="G330" s="9">
        <v>27.99</v>
      </c>
      <c r="H330" s="8" t="s">
        <v>1066</v>
      </c>
      <c r="I330" s="7" t="s">
        <v>3321</v>
      </c>
      <c r="J330" s="11" t="s">
        <v>3231</v>
      </c>
      <c r="K330" s="7" t="s">
        <v>3343</v>
      </c>
      <c r="L330" s="7" t="s">
        <v>3561</v>
      </c>
      <c r="M330" s="12"/>
    </row>
    <row r="331" spans="1:13" ht="15.2" customHeight="1" x14ac:dyDescent="0.2">
      <c r="A331" s="6" t="s">
        <v>2335</v>
      </c>
      <c r="B331" s="7" t="s">
        <v>2336</v>
      </c>
      <c r="C331" s="8">
        <v>1</v>
      </c>
      <c r="D331" s="9">
        <v>9.25</v>
      </c>
      <c r="E331" s="9">
        <v>9.25</v>
      </c>
      <c r="F331" s="10">
        <v>22.99</v>
      </c>
      <c r="G331" s="9">
        <v>22.99</v>
      </c>
      <c r="H331" s="8" t="s">
        <v>3572</v>
      </c>
      <c r="I331" s="7" t="s">
        <v>3321</v>
      </c>
      <c r="J331" s="11" t="s">
        <v>3220</v>
      </c>
      <c r="K331" s="7" t="s">
        <v>3323</v>
      </c>
      <c r="L331" s="7" t="s">
        <v>3356</v>
      </c>
      <c r="M331" s="12"/>
    </row>
    <row r="332" spans="1:13" ht="15.2" customHeight="1" x14ac:dyDescent="0.2">
      <c r="A332" s="6" t="s">
        <v>1067</v>
      </c>
      <c r="B332" s="7" t="s">
        <v>1068</v>
      </c>
      <c r="C332" s="8">
        <v>1</v>
      </c>
      <c r="D332" s="9">
        <v>9.25</v>
      </c>
      <c r="E332" s="9">
        <v>9.25</v>
      </c>
      <c r="F332" s="10">
        <v>22.99</v>
      </c>
      <c r="G332" s="9">
        <v>22.99</v>
      </c>
      <c r="H332" s="8" t="s">
        <v>3569</v>
      </c>
      <c r="I332" s="7" t="s">
        <v>3191</v>
      </c>
      <c r="J332" s="11" t="s">
        <v>3231</v>
      </c>
      <c r="K332" s="7" t="s">
        <v>3323</v>
      </c>
      <c r="L332" s="7" t="s">
        <v>3356</v>
      </c>
      <c r="M332" s="12"/>
    </row>
    <row r="333" spans="1:13" ht="15.2" customHeight="1" x14ac:dyDescent="0.2">
      <c r="A333" s="6" t="s">
        <v>1069</v>
      </c>
      <c r="B333" s="7" t="s">
        <v>1070</v>
      </c>
      <c r="C333" s="8">
        <v>1</v>
      </c>
      <c r="D333" s="9">
        <v>9.25</v>
      </c>
      <c r="E333" s="9">
        <v>9.25</v>
      </c>
      <c r="F333" s="10">
        <v>22.99</v>
      </c>
      <c r="G333" s="9">
        <v>22.99</v>
      </c>
      <c r="H333" s="8" t="s">
        <v>3569</v>
      </c>
      <c r="I333" s="7" t="s">
        <v>3185</v>
      </c>
      <c r="J333" s="11" t="s">
        <v>3231</v>
      </c>
      <c r="K333" s="7" t="s">
        <v>3323</v>
      </c>
      <c r="L333" s="7" t="s">
        <v>3356</v>
      </c>
      <c r="M333" s="12"/>
    </row>
    <row r="334" spans="1:13" ht="15.2" customHeight="1" x14ac:dyDescent="0.2">
      <c r="A334" s="6" t="s">
        <v>2339</v>
      </c>
      <c r="B334" s="7" t="s">
        <v>4191</v>
      </c>
      <c r="C334" s="8">
        <v>1</v>
      </c>
      <c r="D334" s="9">
        <v>9.24</v>
      </c>
      <c r="E334" s="9">
        <v>9.24</v>
      </c>
      <c r="F334" s="10">
        <v>21.99</v>
      </c>
      <c r="G334" s="9">
        <v>21.99</v>
      </c>
      <c r="H334" s="8" t="s">
        <v>4192</v>
      </c>
      <c r="I334" s="7" t="s">
        <v>3235</v>
      </c>
      <c r="J334" s="11" t="s">
        <v>3236</v>
      </c>
      <c r="K334" s="7" t="s">
        <v>3300</v>
      </c>
      <c r="L334" s="7" t="s">
        <v>3301</v>
      </c>
      <c r="M334" s="12"/>
    </row>
    <row r="335" spans="1:13" ht="15.2" customHeight="1" x14ac:dyDescent="0.2">
      <c r="A335" s="6" t="s">
        <v>1071</v>
      </c>
      <c r="B335" s="7" t="s">
        <v>1072</v>
      </c>
      <c r="C335" s="8">
        <v>1</v>
      </c>
      <c r="D335" s="9">
        <v>9.2200000000000006</v>
      </c>
      <c r="E335" s="9">
        <v>9.2200000000000006</v>
      </c>
      <c r="F335" s="10">
        <v>21.99</v>
      </c>
      <c r="G335" s="9">
        <v>21.99</v>
      </c>
      <c r="H335" s="8" t="s">
        <v>2745</v>
      </c>
      <c r="I335" s="7" t="s">
        <v>3263</v>
      </c>
      <c r="J335" s="11" t="s">
        <v>3236</v>
      </c>
      <c r="K335" s="7" t="s">
        <v>3300</v>
      </c>
      <c r="L335" s="7" t="s">
        <v>3301</v>
      </c>
      <c r="M335" s="12"/>
    </row>
    <row r="336" spans="1:13" ht="15.2" customHeight="1" x14ac:dyDescent="0.2">
      <c r="A336" s="6" t="s">
        <v>1754</v>
      </c>
      <c r="B336" s="7" t="s">
        <v>1755</v>
      </c>
      <c r="C336" s="8">
        <v>2</v>
      </c>
      <c r="D336" s="9">
        <v>9.2200000000000006</v>
      </c>
      <c r="E336" s="9">
        <v>18.440000000000001</v>
      </c>
      <c r="F336" s="10">
        <v>21.99</v>
      </c>
      <c r="G336" s="9">
        <v>43.98</v>
      </c>
      <c r="H336" s="8" t="s">
        <v>3573</v>
      </c>
      <c r="I336" s="7" t="s">
        <v>3191</v>
      </c>
      <c r="J336" s="11" t="s">
        <v>3236</v>
      </c>
      <c r="K336" s="7" t="s">
        <v>3300</v>
      </c>
      <c r="L336" s="7" t="s">
        <v>3301</v>
      </c>
      <c r="M336" s="12"/>
    </row>
    <row r="337" spans="1:13" ht="15.2" customHeight="1" x14ac:dyDescent="0.2">
      <c r="A337" s="6" t="s">
        <v>2022</v>
      </c>
      <c r="B337" s="7" t="s">
        <v>2023</v>
      </c>
      <c r="C337" s="8">
        <v>1</v>
      </c>
      <c r="D337" s="9">
        <v>9.2200000000000006</v>
      </c>
      <c r="E337" s="9">
        <v>9.2200000000000006</v>
      </c>
      <c r="F337" s="10">
        <v>21.99</v>
      </c>
      <c r="G337" s="9">
        <v>21.99</v>
      </c>
      <c r="H337" s="8" t="s">
        <v>1942</v>
      </c>
      <c r="I337" s="7" t="s">
        <v>3185</v>
      </c>
      <c r="J337" s="11" t="s">
        <v>3202</v>
      </c>
      <c r="K337" s="7" t="s">
        <v>3300</v>
      </c>
      <c r="L337" s="7" t="s">
        <v>3301</v>
      </c>
      <c r="M337" s="12"/>
    </row>
    <row r="338" spans="1:13" ht="15.2" customHeight="1" x14ac:dyDescent="0.2">
      <c r="A338" s="6" t="s">
        <v>2341</v>
      </c>
      <c r="B338" s="7" t="s">
        <v>4389</v>
      </c>
      <c r="C338" s="8">
        <v>2</v>
      </c>
      <c r="D338" s="9">
        <v>9.2200000000000006</v>
      </c>
      <c r="E338" s="9">
        <v>18.440000000000001</v>
      </c>
      <c r="F338" s="10">
        <v>21.99</v>
      </c>
      <c r="G338" s="9">
        <v>43.98</v>
      </c>
      <c r="H338" s="8" t="s">
        <v>4390</v>
      </c>
      <c r="I338" s="7" t="s">
        <v>3216</v>
      </c>
      <c r="J338" s="11" t="s">
        <v>3231</v>
      </c>
      <c r="K338" s="7" t="s">
        <v>3300</v>
      </c>
      <c r="L338" s="7" t="s">
        <v>3301</v>
      </c>
      <c r="M338" s="12"/>
    </row>
    <row r="339" spans="1:13" ht="15.2" customHeight="1" x14ac:dyDescent="0.2">
      <c r="A339" s="6" t="s">
        <v>4045</v>
      </c>
      <c r="B339" s="7" t="s">
        <v>4046</v>
      </c>
      <c r="C339" s="8">
        <v>1</v>
      </c>
      <c r="D339" s="9">
        <v>9.1999999999999993</v>
      </c>
      <c r="E339" s="9">
        <v>9.1999999999999993</v>
      </c>
      <c r="F339" s="10">
        <v>21.99</v>
      </c>
      <c r="G339" s="9">
        <v>21.99</v>
      </c>
      <c r="H339" s="8" t="s">
        <v>4047</v>
      </c>
      <c r="I339" s="7" t="s">
        <v>3185</v>
      </c>
      <c r="J339" s="11" t="s">
        <v>3220</v>
      </c>
      <c r="K339" s="7" t="s">
        <v>3300</v>
      </c>
      <c r="L339" s="7" t="s">
        <v>3301</v>
      </c>
      <c r="M339" s="12"/>
    </row>
    <row r="340" spans="1:13" ht="15.2" customHeight="1" x14ac:dyDescent="0.2">
      <c r="A340" s="6" t="s">
        <v>2345</v>
      </c>
      <c r="B340" s="7" t="s">
        <v>3814</v>
      </c>
      <c r="C340" s="8">
        <v>1</v>
      </c>
      <c r="D340" s="9">
        <v>9.1999999999999993</v>
      </c>
      <c r="E340" s="9">
        <v>9.1999999999999993</v>
      </c>
      <c r="F340" s="10">
        <v>21.99</v>
      </c>
      <c r="G340" s="9">
        <v>21.99</v>
      </c>
      <c r="H340" s="8" t="s">
        <v>3815</v>
      </c>
      <c r="I340" s="7" t="s">
        <v>3185</v>
      </c>
      <c r="J340" s="11" t="s">
        <v>3231</v>
      </c>
      <c r="K340" s="7" t="s">
        <v>3300</v>
      </c>
      <c r="L340" s="7" t="s">
        <v>3301</v>
      </c>
      <c r="M340" s="12"/>
    </row>
    <row r="341" spans="1:13" ht="15.2" customHeight="1" x14ac:dyDescent="0.2">
      <c r="A341" s="6" t="s">
        <v>2344</v>
      </c>
      <c r="B341" s="7" t="s">
        <v>4046</v>
      </c>
      <c r="C341" s="8">
        <v>3</v>
      </c>
      <c r="D341" s="9">
        <v>9.1999999999999993</v>
      </c>
      <c r="E341" s="9">
        <v>27.6</v>
      </c>
      <c r="F341" s="10">
        <v>21.99</v>
      </c>
      <c r="G341" s="9">
        <v>65.97</v>
      </c>
      <c r="H341" s="8" t="s">
        <v>4047</v>
      </c>
      <c r="I341" s="7" t="s">
        <v>3185</v>
      </c>
      <c r="J341" s="11" t="s">
        <v>3186</v>
      </c>
      <c r="K341" s="7" t="s">
        <v>3300</v>
      </c>
      <c r="L341" s="7" t="s">
        <v>3301</v>
      </c>
      <c r="M341" s="12"/>
    </row>
    <row r="342" spans="1:13" ht="15.2" customHeight="1" x14ac:dyDescent="0.2">
      <c r="A342" s="6" t="s">
        <v>1535</v>
      </c>
      <c r="B342" s="7" t="s">
        <v>4046</v>
      </c>
      <c r="C342" s="8">
        <v>1</v>
      </c>
      <c r="D342" s="9">
        <v>9.1999999999999993</v>
      </c>
      <c r="E342" s="9">
        <v>9.1999999999999993</v>
      </c>
      <c r="F342" s="10">
        <v>21.99</v>
      </c>
      <c r="G342" s="9">
        <v>21.99</v>
      </c>
      <c r="H342" s="8" t="s">
        <v>4047</v>
      </c>
      <c r="I342" s="7" t="s">
        <v>3185</v>
      </c>
      <c r="J342" s="11" t="s">
        <v>3202</v>
      </c>
      <c r="K342" s="7" t="s">
        <v>3300</v>
      </c>
      <c r="L342" s="7" t="s">
        <v>3301</v>
      </c>
      <c r="M342" s="12"/>
    </row>
    <row r="343" spans="1:13" ht="15.2" customHeight="1" x14ac:dyDescent="0.2">
      <c r="A343" s="6" t="s">
        <v>3813</v>
      </c>
      <c r="B343" s="7" t="s">
        <v>3814</v>
      </c>
      <c r="C343" s="8">
        <v>1</v>
      </c>
      <c r="D343" s="9">
        <v>9.1999999999999993</v>
      </c>
      <c r="E343" s="9">
        <v>9.1999999999999993</v>
      </c>
      <c r="F343" s="10">
        <v>21.99</v>
      </c>
      <c r="G343" s="9">
        <v>21.99</v>
      </c>
      <c r="H343" s="8" t="s">
        <v>3815</v>
      </c>
      <c r="I343" s="7" t="s">
        <v>3185</v>
      </c>
      <c r="J343" s="11" t="s">
        <v>3236</v>
      </c>
      <c r="K343" s="7" t="s">
        <v>3300</v>
      </c>
      <c r="L343" s="7" t="s">
        <v>3301</v>
      </c>
      <c r="M343" s="12"/>
    </row>
    <row r="344" spans="1:13" ht="15.2" customHeight="1" x14ac:dyDescent="0.2">
      <c r="A344" s="6" t="s">
        <v>1073</v>
      </c>
      <c r="B344" s="7" t="s">
        <v>1074</v>
      </c>
      <c r="C344" s="8">
        <v>1</v>
      </c>
      <c r="D344" s="9">
        <v>9</v>
      </c>
      <c r="E344" s="9">
        <v>9</v>
      </c>
      <c r="F344" s="10">
        <v>19.989999999999998</v>
      </c>
      <c r="G344" s="9">
        <v>19.989999999999998</v>
      </c>
      <c r="H344" s="8" t="s">
        <v>4200</v>
      </c>
      <c r="I344" s="7" t="s">
        <v>3257</v>
      </c>
      <c r="J344" s="11" t="s">
        <v>3220</v>
      </c>
      <c r="K344" s="7" t="s">
        <v>3323</v>
      </c>
      <c r="L344" s="7" t="s">
        <v>3356</v>
      </c>
      <c r="M344" s="12"/>
    </row>
    <row r="345" spans="1:13" ht="15.2" customHeight="1" x14ac:dyDescent="0.2">
      <c r="A345" s="6" t="s">
        <v>1075</v>
      </c>
      <c r="B345" s="7" t="s">
        <v>1076</v>
      </c>
      <c r="C345" s="8">
        <v>1</v>
      </c>
      <c r="D345" s="9">
        <v>9</v>
      </c>
      <c r="E345" s="9">
        <v>9</v>
      </c>
      <c r="F345" s="10">
        <v>19.989999999999998</v>
      </c>
      <c r="G345" s="9">
        <v>19.989999999999998</v>
      </c>
      <c r="H345" s="8" t="s">
        <v>4200</v>
      </c>
      <c r="I345" s="7" t="s">
        <v>3257</v>
      </c>
      <c r="J345" s="11" t="s">
        <v>3231</v>
      </c>
      <c r="K345" s="7" t="s">
        <v>3323</v>
      </c>
      <c r="L345" s="7" t="s">
        <v>3356</v>
      </c>
      <c r="M345" s="12"/>
    </row>
    <row r="346" spans="1:13" ht="15.2" customHeight="1" x14ac:dyDescent="0.2">
      <c r="A346" s="6" t="s">
        <v>1077</v>
      </c>
      <c r="B346" s="7" t="s">
        <v>1078</v>
      </c>
      <c r="C346" s="8">
        <v>1</v>
      </c>
      <c r="D346" s="9">
        <v>9</v>
      </c>
      <c r="E346" s="9">
        <v>9</v>
      </c>
      <c r="F346" s="10">
        <v>19.989999999999998</v>
      </c>
      <c r="G346" s="9">
        <v>19.989999999999998</v>
      </c>
      <c r="H346" s="8" t="s">
        <v>4200</v>
      </c>
      <c r="I346" s="7" t="s">
        <v>3191</v>
      </c>
      <c r="J346" s="11" t="s">
        <v>3186</v>
      </c>
      <c r="K346" s="7" t="s">
        <v>3323</v>
      </c>
      <c r="L346" s="7" t="s">
        <v>3356</v>
      </c>
      <c r="M346" s="12"/>
    </row>
    <row r="347" spans="1:13" ht="15.2" customHeight="1" x14ac:dyDescent="0.2">
      <c r="A347" s="6" t="s">
        <v>4391</v>
      </c>
      <c r="B347" s="7" t="s">
        <v>4392</v>
      </c>
      <c r="C347" s="8">
        <v>1</v>
      </c>
      <c r="D347" s="9">
        <v>9</v>
      </c>
      <c r="E347" s="9">
        <v>9</v>
      </c>
      <c r="F347" s="10">
        <v>19.989999999999998</v>
      </c>
      <c r="G347" s="9">
        <v>19.989999999999998</v>
      </c>
      <c r="H347" s="8" t="s">
        <v>4200</v>
      </c>
      <c r="I347" s="7" t="s">
        <v>3257</v>
      </c>
      <c r="J347" s="11" t="s">
        <v>3202</v>
      </c>
      <c r="K347" s="7" t="s">
        <v>3323</v>
      </c>
      <c r="L347" s="7" t="s">
        <v>3356</v>
      </c>
      <c r="M347" s="12"/>
    </row>
    <row r="348" spans="1:13" ht="15.2" customHeight="1" x14ac:dyDescent="0.2">
      <c r="A348" s="6" t="s">
        <v>1079</v>
      </c>
      <c r="B348" s="7" t="s">
        <v>1080</v>
      </c>
      <c r="C348" s="8">
        <v>1</v>
      </c>
      <c r="D348" s="9">
        <v>8.9499999999999993</v>
      </c>
      <c r="E348" s="9">
        <v>8.9499999999999993</v>
      </c>
      <c r="F348" s="10">
        <v>19.989999999999998</v>
      </c>
      <c r="G348" s="9">
        <v>19.989999999999998</v>
      </c>
      <c r="H348" s="8" t="s">
        <v>1081</v>
      </c>
      <c r="I348" s="7" t="s">
        <v>3396</v>
      </c>
      <c r="J348" s="11" t="s">
        <v>3220</v>
      </c>
      <c r="K348" s="7" t="s">
        <v>3387</v>
      </c>
      <c r="L348" s="7" t="s">
        <v>3410</v>
      </c>
      <c r="M348" s="12"/>
    </row>
    <row r="349" spans="1:13" ht="15.2" customHeight="1" x14ac:dyDescent="0.2">
      <c r="A349" s="6" t="s">
        <v>3024</v>
      </c>
      <c r="B349" s="7" t="s">
        <v>3817</v>
      </c>
      <c r="C349" s="8">
        <v>1</v>
      </c>
      <c r="D349" s="9">
        <v>8.94</v>
      </c>
      <c r="E349" s="9">
        <v>8.94</v>
      </c>
      <c r="F349" s="10">
        <v>24.5</v>
      </c>
      <c r="G349" s="9">
        <v>24.5</v>
      </c>
      <c r="H349" s="8" t="s">
        <v>3818</v>
      </c>
      <c r="I349" s="7" t="s">
        <v>3681</v>
      </c>
      <c r="J349" s="11" t="s">
        <v>3186</v>
      </c>
      <c r="K349" s="7" t="s">
        <v>3221</v>
      </c>
      <c r="L349" s="7" t="s">
        <v>3224</v>
      </c>
      <c r="M349" s="12"/>
    </row>
    <row r="350" spans="1:13" ht="15.2" customHeight="1" x14ac:dyDescent="0.2">
      <c r="A350" s="6" t="s">
        <v>1082</v>
      </c>
      <c r="B350" s="7" t="s">
        <v>1083</v>
      </c>
      <c r="C350" s="8">
        <v>1</v>
      </c>
      <c r="D350" s="9">
        <v>8.8000000000000007</v>
      </c>
      <c r="E350" s="9">
        <v>8.8000000000000007</v>
      </c>
      <c r="F350" s="10">
        <v>19.989999999999998</v>
      </c>
      <c r="G350" s="9">
        <v>19.989999999999998</v>
      </c>
      <c r="H350" s="8" t="s">
        <v>1647</v>
      </c>
      <c r="I350" s="7" t="s">
        <v>3257</v>
      </c>
      <c r="J350" s="11" t="s">
        <v>3202</v>
      </c>
      <c r="K350" s="7" t="s">
        <v>3323</v>
      </c>
      <c r="L350" s="7" t="s">
        <v>3371</v>
      </c>
      <c r="M350" s="12"/>
    </row>
    <row r="351" spans="1:13" ht="15.2" customHeight="1" x14ac:dyDescent="0.2">
      <c r="A351" s="6" t="s">
        <v>1084</v>
      </c>
      <c r="B351" s="7" t="s">
        <v>1085</v>
      </c>
      <c r="C351" s="8">
        <v>1</v>
      </c>
      <c r="D351" s="9">
        <v>8.5</v>
      </c>
      <c r="E351" s="9">
        <v>8.5</v>
      </c>
      <c r="F351" s="10">
        <v>19.989999999999998</v>
      </c>
      <c r="G351" s="9">
        <v>19.989999999999998</v>
      </c>
      <c r="H351" s="8" t="s">
        <v>1086</v>
      </c>
      <c r="I351" s="7" t="s">
        <v>3237</v>
      </c>
      <c r="J351" s="11" t="s">
        <v>3242</v>
      </c>
      <c r="K351" s="7" t="s">
        <v>3323</v>
      </c>
      <c r="L351" s="7" t="s">
        <v>3418</v>
      </c>
      <c r="M351" s="12"/>
    </row>
    <row r="352" spans="1:13" ht="15.2" customHeight="1" x14ac:dyDescent="0.2">
      <c r="A352" s="6" t="s">
        <v>1756</v>
      </c>
      <c r="B352" s="7" t="s">
        <v>1757</v>
      </c>
      <c r="C352" s="8">
        <v>1</v>
      </c>
      <c r="D352" s="9">
        <v>8.5</v>
      </c>
      <c r="E352" s="9">
        <v>8.5</v>
      </c>
      <c r="F352" s="10">
        <v>19.989999999999998</v>
      </c>
      <c r="G352" s="9">
        <v>19.989999999999998</v>
      </c>
      <c r="H352" s="8" t="s">
        <v>1758</v>
      </c>
      <c r="I352" s="7" t="s">
        <v>3386</v>
      </c>
      <c r="J352" s="11" t="s">
        <v>3202</v>
      </c>
      <c r="K352" s="7" t="s">
        <v>3387</v>
      </c>
      <c r="L352" s="7" t="s">
        <v>3429</v>
      </c>
      <c r="M352" s="12"/>
    </row>
    <row r="353" spans="1:13" ht="15.2" customHeight="1" x14ac:dyDescent="0.2">
      <c r="A353" s="6" t="s">
        <v>1943</v>
      </c>
      <c r="B353" s="7" t="s">
        <v>1944</v>
      </c>
      <c r="C353" s="8">
        <v>2</v>
      </c>
      <c r="D353" s="9">
        <v>8.5</v>
      </c>
      <c r="E353" s="9">
        <v>17</v>
      </c>
      <c r="F353" s="10">
        <v>19.989999999999998</v>
      </c>
      <c r="G353" s="9">
        <v>39.979999999999997</v>
      </c>
      <c r="H353" s="8" t="s">
        <v>1655</v>
      </c>
      <c r="I353" s="7" t="s">
        <v>3339</v>
      </c>
      <c r="J353" s="11" t="s">
        <v>3220</v>
      </c>
      <c r="K353" s="7" t="s">
        <v>3387</v>
      </c>
      <c r="L353" s="7" t="s">
        <v>3388</v>
      </c>
      <c r="M353" s="12"/>
    </row>
    <row r="354" spans="1:13" ht="15.2" customHeight="1" x14ac:dyDescent="0.2">
      <c r="A354" s="6" t="s">
        <v>1949</v>
      </c>
      <c r="B354" s="7" t="s">
        <v>1950</v>
      </c>
      <c r="C354" s="8">
        <v>1</v>
      </c>
      <c r="D354" s="9">
        <v>8.5</v>
      </c>
      <c r="E354" s="9">
        <v>8.5</v>
      </c>
      <c r="F354" s="10">
        <v>19.989999999999998</v>
      </c>
      <c r="G354" s="9">
        <v>19.989999999999998</v>
      </c>
      <c r="H354" s="8" t="s">
        <v>1647</v>
      </c>
      <c r="I354" s="7" t="s">
        <v>3216</v>
      </c>
      <c r="J354" s="11" t="s">
        <v>3231</v>
      </c>
      <c r="K354" s="7" t="s">
        <v>3323</v>
      </c>
      <c r="L354" s="7" t="s">
        <v>3371</v>
      </c>
      <c r="M354" s="12"/>
    </row>
    <row r="355" spans="1:13" ht="15.2" customHeight="1" x14ac:dyDescent="0.2">
      <c r="A355" s="6" t="s">
        <v>1087</v>
      </c>
      <c r="B355" s="7" t="s">
        <v>1088</v>
      </c>
      <c r="C355" s="8">
        <v>1</v>
      </c>
      <c r="D355" s="9">
        <v>8.5</v>
      </c>
      <c r="E355" s="9">
        <v>8.5</v>
      </c>
      <c r="F355" s="10">
        <v>19.989999999999998</v>
      </c>
      <c r="G355" s="9">
        <v>19.989999999999998</v>
      </c>
      <c r="H355" s="8" t="s">
        <v>2346</v>
      </c>
      <c r="I355" s="7" t="s">
        <v>3400</v>
      </c>
      <c r="J355" s="11" t="s">
        <v>3242</v>
      </c>
      <c r="K355" s="7" t="s">
        <v>3323</v>
      </c>
      <c r="L355" s="7" t="s">
        <v>3356</v>
      </c>
      <c r="M355" s="12"/>
    </row>
    <row r="356" spans="1:13" ht="15.2" customHeight="1" x14ac:dyDescent="0.2">
      <c r="A356" s="6" t="s">
        <v>739</v>
      </c>
      <c r="B356" s="7" t="s">
        <v>740</v>
      </c>
      <c r="C356" s="8">
        <v>2</v>
      </c>
      <c r="D356" s="9">
        <v>8.5</v>
      </c>
      <c r="E356" s="9">
        <v>17</v>
      </c>
      <c r="F356" s="10">
        <v>19.989999999999998</v>
      </c>
      <c r="G356" s="9">
        <v>39.979999999999997</v>
      </c>
      <c r="H356" s="8" t="s">
        <v>1647</v>
      </c>
      <c r="I356" s="7" t="s">
        <v>3216</v>
      </c>
      <c r="J356" s="11" t="s">
        <v>3186</v>
      </c>
      <c r="K356" s="7" t="s">
        <v>3323</v>
      </c>
      <c r="L356" s="7" t="s">
        <v>3371</v>
      </c>
      <c r="M356" s="12"/>
    </row>
    <row r="357" spans="1:13" ht="15.2" customHeight="1" x14ac:dyDescent="0.2">
      <c r="A357" s="6" t="s">
        <v>1951</v>
      </c>
      <c r="B357" s="7" t="s">
        <v>1952</v>
      </c>
      <c r="C357" s="8">
        <v>3</v>
      </c>
      <c r="D357" s="9">
        <v>8.5</v>
      </c>
      <c r="E357" s="9">
        <v>25.5</v>
      </c>
      <c r="F357" s="10">
        <v>19.989999999999998</v>
      </c>
      <c r="G357" s="9">
        <v>59.97</v>
      </c>
      <c r="H357" s="8" t="s">
        <v>1647</v>
      </c>
      <c r="I357" s="7" t="s">
        <v>3207</v>
      </c>
      <c r="J357" s="11" t="s">
        <v>3186</v>
      </c>
      <c r="K357" s="7" t="s">
        <v>3323</v>
      </c>
      <c r="L357" s="7" t="s">
        <v>3371</v>
      </c>
      <c r="M357" s="12"/>
    </row>
    <row r="358" spans="1:13" ht="15.2" customHeight="1" x14ac:dyDescent="0.2">
      <c r="A358" s="6" t="s">
        <v>1945</v>
      </c>
      <c r="B358" s="7" t="s">
        <v>1946</v>
      </c>
      <c r="C358" s="8">
        <v>1</v>
      </c>
      <c r="D358" s="9">
        <v>8.5</v>
      </c>
      <c r="E358" s="9">
        <v>8.5</v>
      </c>
      <c r="F358" s="10">
        <v>19.989999999999998</v>
      </c>
      <c r="G358" s="9">
        <v>19.989999999999998</v>
      </c>
      <c r="H358" s="8" t="s">
        <v>1647</v>
      </c>
      <c r="I358" s="7" t="s">
        <v>3216</v>
      </c>
      <c r="J358" s="11" t="s">
        <v>3202</v>
      </c>
      <c r="K358" s="7" t="s">
        <v>3323</v>
      </c>
      <c r="L358" s="7" t="s">
        <v>3371</v>
      </c>
      <c r="M358" s="12"/>
    </row>
    <row r="359" spans="1:13" ht="15.2" customHeight="1" x14ac:dyDescent="0.2">
      <c r="A359" s="6" t="s">
        <v>1648</v>
      </c>
      <c r="B359" s="7" t="s">
        <v>1649</v>
      </c>
      <c r="C359" s="8">
        <v>1</v>
      </c>
      <c r="D359" s="9">
        <v>8.5</v>
      </c>
      <c r="E359" s="9">
        <v>8.5</v>
      </c>
      <c r="F359" s="10">
        <v>19.989999999999998</v>
      </c>
      <c r="G359" s="9">
        <v>19.989999999999998</v>
      </c>
      <c r="H359" s="8" t="s">
        <v>1650</v>
      </c>
      <c r="I359" s="7" t="s">
        <v>3185</v>
      </c>
      <c r="J359" s="11" t="s">
        <v>3202</v>
      </c>
      <c r="K359" s="7" t="s">
        <v>3387</v>
      </c>
      <c r="L359" s="7" t="s">
        <v>3388</v>
      </c>
      <c r="M359" s="12"/>
    </row>
    <row r="360" spans="1:13" ht="15.2" customHeight="1" x14ac:dyDescent="0.2">
      <c r="A360" s="6" t="s">
        <v>1089</v>
      </c>
      <c r="B360" s="7" t="s">
        <v>1090</v>
      </c>
      <c r="C360" s="8">
        <v>2</v>
      </c>
      <c r="D360" s="9">
        <v>8.5</v>
      </c>
      <c r="E360" s="9">
        <v>17</v>
      </c>
      <c r="F360" s="10">
        <v>19.989999999999998</v>
      </c>
      <c r="G360" s="9">
        <v>39.979999999999997</v>
      </c>
      <c r="H360" s="8" t="s">
        <v>1759</v>
      </c>
      <c r="I360" s="7" t="s">
        <v>3681</v>
      </c>
      <c r="J360" s="11" t="s">
        <v>3231</v>
      </c>
      <c r="K360" s="7" t="s">
        <v>3323</v>
      </c>
      <c r="L360" s="7" t="s">
        <v>3418</v>
      </c>
      <c r="M360" s="12"/>
    </row>
    <row r="361" spans="1:13" ht="15.2" customHeight="1" x14ac:dyDescent="0.2">
      <c r="A361" s="6" t="s">
        <v>1091</v>
      </c>
      <c r="B361" s="7" t="s">
        <v>1092</v>
      </c>
      <c r="C361" s="8">
        <v>1</v>
      </c>
      <c r="D361" s="9">
        <v>8.25</v>
      </c>
      <c r="E361" s="9">
        <v>8.25</v>
      </c>
      <c r="F361" s="10">
        <v>19.989999999999998</v>
      </c>
      <c r="G361" s="9">
        <v>19.989999999999998</v>
      </c>
      <c r="H361" s="8" t="s">
        <v>1840</v>
      </c>
      <c r="I361" s="7" t="s">
        <v>3207</v>
      </c>
      <c r="J361" s="11" t="s">
        <v>3242</v>
      </c>
      <c r="K361" s="7" t="s">
        <v>3323</v>
      </c>
      <c r="L361" s="7" t="s">
        <v>3407</v>
      </c>
      <c r="M361" s="12"/>
    </row>
    <row r="362" spans="1:13" ht="15.2" customHeight="1" x14ac:dyDescent="0.2">
      <c r="A362" s="6" t="s">
        <v>1961</v>
      </c>
      <c r="B362" s="7" t="s">
        <v>1962</v>
      </c>
      <c r="C362" s="8">
        <v>1</v>
      </c>
      <c r="D362" s="9">
        <v>8.15</v>
      </c>
      <c r="E362" s="9">
        <v>8.15</v>
      </c>
      <c r="F362" s="10">
        <v>19.989999999999998</v>
      </c>
      <c r="G362" s="9">
        <v>19.989999999999998</v>
      </c>
      <c r="H362" s="8">
        <v>60453500</v>
      </c>
      <c r="I362" s="7" t="s">
        <v>3214</v>
      </c>
      <c r="J362" s="11" t="s">
        <v>3231</v>
      </c>
      <c r="K362" s="7" t="s">
        <v>3334</v>
      </c>
      <c r="L362" s="7" t="s">
        <v>3368</v>
      </c>
      <c r="M362" s="12"/>
    </row>
    <row r="363" spans="1:13" ht="15.2" customHeight="1" x14ac:dyDescent="0.2">
      <c r="A363" s="6" t="s">
        <v>1959</v>
      </c>
      <c r="B363" s="7" t="s">
        <v>1960</v>
      </c>
      <c r="C363" s="8">
        <v>1</v>
      </c>
      <c r="D363" s="9">
        <v>8.15</v>
      </c>
      <c r="E363" s="9">
        <v>8.15</v>
      </c>
      <c r="F363" s="10">
        <v>19.989999999999998</v>
      </c>
      <c r="G363" s="9">
        <v>19.989999999999998</v>
      </c>
      <c r="H363" s="8">
        <v>60453500</v>
      </c>
      <c r="I363" s="7" t="s">
        <v>3214</v>
      </c>
      <c r="J363" s="11" t="s">
        <v>3242</v>
      </c>
      <c r="K363" s="7" t="s">
        <v>3334</v>
      </c>
      <c r="L363" s="7" t="s">
        <v>3368</v>
      </c>
      <c r="M363" s="12"/>
    </row>
    <row r="364" spans="1:13" ht="15.2" customHeight="1" x14ac:dyDescent="0.2">
      <c r="A364" s="6" t="s">
        <v>1671</v>
      </c>
      <c r="B364" s="7" t="s">
        <v>1672</v>
      </c>
      <c r="C364" s="8">
        <v>2</v>
      </c>
      <c r="D364" s="9">
        <v>8</v>
      </c>
      <c r="E364" s="9">
        <v>16</v>
      </c>
      <c r="F364" s="10">
        <v>19.989999999999998</v>
      </c>
      <c r="G364" s="9">
        <v>39.979999999999997</v>
      </c>
      <c r="H364" s="8" t="s">
        <v>1673</v>
      </c>
      <c r="I364" s="7" t="s">
        <v>3321</v>
      </c>
      <c r="J364" s="11" t="s">
        <v>3186</v>
      </c>
      <c r="K364" s="7" t="s">
        <v>3387</v>
      </c>
      <c r="L364" s="7" t="s">
        <v>3404</v>
      </c>
      <c r="M364" s="12"/>
    </row>
    <row r="365" spans="1:13" ht="15.2" customHeight="1" x14ac:dyDescent="0.2">
      <c r="A365" s="6" t="s">
        <v>620</v>
      </c>
      <c r="B365" s="7" t="s">
        <v>621</v>
      </c>
      <c r="C365" s="8">
        <v>1</v>
      </c>
      <c r="D365" s="9">
        <v>8</v>
      </c>
      <c r="E365" s="9">
        <v>8</v>
      </c>
      <c r="F365" s="10">
        <v>19.989999999999998</v>
      </c>
      <c r="G365" s="9">
        <v>19.989999999999998</v>
      </c>
      <c r="H365" s="8" t="s">
        <v>1552</v>
      </c>
      <c r="I365" s="7" t="s">
        <v>3182</v>
      </c>
      <c r="J365" s="11" t="s">
        <v>3202</v>
      </c>
      <c r="K365" s="7" t="s">
        <v>3323</v>
      </c>
      <c r="L365" s="7" t="s">
        <v>3356</v>
      </c>
      <c r="M365" s="12"/>
    </row>
    <row r="366" spans="1:13" ht="15.2" customHeight="1" x14ac:dyDescent="0.2">
      <c r="A366" s="6" t="s">
        <v>1093</v>
      </c>
      <c r="B366" s="7" t="s">
        <v>1094</v>
      </c>
      <c r="C366" s="8">
        <v>1</v>
      </c>
      <c r="D366" s="9">
        <v>8</v>
      </c>
      <c r="E366" s="9">
        <v>8</v>
      </c>
      <c r="F366" s="10">
        <v>19.989999999999998</v>
      </c>
      <c r="G366" s="9">
        <v>19.989999999999998</v>
      </c>
      <c r="H366" s="8" t="s">
        <v>1658</v>
      </c>
      <c r="I366" s="7" t="s">
        <v>3339</v>
      </c>
      <c r="J366" s="11" t="s">
        <v>3186</v>
      </c>
      <c r="K366" s="7" t="s">
        <v>3323</v>
      </c>
      <c r="L366" s="7" t="s">
        <v>3356</v>
      </c>
      <c r="M366" s="12"/>
    </row>
    <row r="367" spans="1:13" ht="15.2" customHeight="1" x14ac:dyDescent="0.2">
      <c r="A367" s="6" t="s">
        <v>1664</v>
      </c>
      <c r="B367" s="7" t="s">
        <v>1665</v>
      </c>
      <c r="C367" s="8">
        <v>1</v>
      </c>
      <c r="D367" s="9">
        <v>8</v>
      </c>
      <c r="E367" s="9">
        <v>8</v>
      </c>
      <c r="F367" s="10">
        <v>19.989999999999998</v>
      </c>
      <c r="G367" s="9">
        <v>19.989999999999998</v>
      </c>
      <c r="H367" s="8" t="s">
        <v>1661</v>
      </c>
      <c r="I367" s="7" t="s">
        <v>3210</v>
      </c>
      <c r="J367" s="11" t="s">
        <v>3231</v>
      </c>
      <c r="K367" s="7" t="s">
        <v>3387</v>
      </c>
      <c r="L367" s="7" t="s">
        <v>3404</v>
      </c>
      <c r="M367" s="12"/>
    </row>
    <row r="368" spans="1:13" ht="15.2" customHeight="1" x14ac:dyDescent="0.2">
      <c r="A368" s="6" t="s">
        <v>1666</v>
      </c>
      <c r="B368" s="7" t="s">
        <v>1667</v>
      </c>
      <c r="C368" s="8">
        <v>1</v>
      </c>
      <c r="D368" s="9">
        <v>8</v>
      </c>
      <c r="E368" s="9">
        <v>8</v>
      </c>
      <c r="F368" s="10">
        <v>19.989999999999998</v>
      </c>
      <c r="G368" s="9">
        <v>19.989999999999998</v>
      </c>
      <c r="H368" s="8" t="s">
        <v>1661</v>
      </c>
      <c r="I368" s="7" t="s">
        <v>3210</v>
      </c>
      <c r="J368" s="11" t="s">
        <v>3186</v>
      </c>
      <c r="K368" s="7" t="s">
        <v>3387</v>
      </c>
      <c r="L368" s="7" t="s">
        <v>3404</v>
      </c>
      <c r="M368" s="12"/>
    </row>
    <row r="369" spans="1:13" ht="15.2" customHeight="1" x14ac:dyDescent="0.2">
      <c r="A369" s="6" t="s">
        <v>1849</v>
      </c>
      <c r="B369" s="7" t="s">
        <v>1850</v>
      </c>
      <c r="C369" s="8">
        <v>1</v>
      </c>
      <c r="D369" s="9">
        <v>8</v>
      </c>
      <c r="E369" s="9">
        <v>8</v>
      </c>
      <c r="F369" s="10">
        <v>19.989999999999998</v>
      </c>
      <c r="G369" s="9">
        <v>19.989999999999998</v>
      </c>
      <c r="H369" s="8" t="s">
        <v>1673</v>
      </c>
      <c r="I369" s="7" t="s">
        <v>3321</v>
      </c>
      <c r="J369" s="11" t="s">
        <v>3202</v>
      </c>
      <c r="K369" s="7" t="s">
        <v>3387</v>
      </c>
      <c r="L369" s="7" t="s">
        <v>3404</v>
      </c>
      <c r="M369" s="12"/>
    </row>
    <row r="370" spans="1:13" ht="15.2" customHeight="1" x14ac:dyDescent="0.2">
      <c r="A370" s="6" t="s">
        <v>741</v>
      </c>
      <c r="B370" s="7" t="s">
        <v>742</v>
      </c>
      <c r="C370" s="8">
        <v>1</v>
      </c>
      <c r="D370" s="9">
        <v>7.95</v>
      </c>
      <c r="E370" s="9">
        <v>7.95</v>
      </c>
      <c r="F370" s="10">
        <v>19.989999999999998</v>
      </c>
      <c r="G370" s="9">
        <v>19.989999999999998</v>
      </c>
      <c r="H370" s="8" t="s">
        <v>743</v>
      </c>
      <c r="I370" s="7" t="s">
        <v>3321</v>
      </c>
      <c r="J370" s="11" t="s">
        <v>3202</v>
      </c>
      <c r="K370" s="7" t="s">
        <v>3323</v>
      </c>
      <c r="L370" s="7" t="s">
        <v>3369</v>
      </c>
      <c r="M370" s="12"/>
    </row>
    <row r="371" spans="1:13" ht="15.2" customHeight="1" x14ac:dyDescent="0.2">
      <c r="A371" s="6" t="s">
        <v>1095</v>
      </c>
      <c r="B371" s="7" t="s">
        <v>1096</v>
      </c>
      <c r="C371" s="8">
        <v>1</v>
      </c>
      <c r="D371" s="9">
        <v>7.95</v>
      </c>
      <c r="E371" s="9">
        <v>7.95</v>
      </c>
      <c r="F371" s="10">
        <v>19.989999999999998</v>
      </c>
      <c r="G371" s="9">
        <v>19.989999999999998</v>
      </c>
      <c r="H371" s="8" t="s">
        <v>3582</v>
      </c>
      <c r="I371" s="7" t="s">
        <v>3191</v>
      </c>
      <c r="J371" s="11" t="s">
        <v>3202</v>
      </c>
      <c r="K371" s="7" t="s">
        <v>3323</v>
      </c>
      <c r="L371" s="7" t="s">
        <v>3369</v>
      </c>
      <c r="M371" s="12"/>
    </row>
    <row r="372" spans="1:13" ht="15.2" customHeight="1" x14ac:dyDescent="0.2">
      <c r="A372" s="6" t="s">
        <v>1097</v>
      </c>
      <c r="B372" s="7" t="s">
        <v>1098</v>
      </c>
      <c r="C372" s="8">
        <v>1</v>
      </c>
      <c r="D372" s="9">
        <v>7.95</v>
      </c>
      <c r="E372" s="9">
        <v>7.95</v>
      </c>
      <c r="F372" s="10">
        <v>19.989999999999998</v>
      </c>
      <c r="G372" s="9">
        <v>19.989999999999998</v>
      </c>
      <c r="H372" s="8" t="s">
        <v>3582</v>
      </c>
      <c r="I372" s="7" t="s">
        <v>3321</v>
      </c>
      <c r="J372" s="11" t="s">
        <v>3202</v>
      </c>
      <c r="K372" s="7" t="s">
        <v>3323</v>
      </c>
      <c r="L372" s="7" t="s">
        <v>3369</v>
      </c>
      <c r="M372" s="12"/>
    </row>
    <row r="373" spans="1:13" ht="15.2" customHeight="1" x14ac:dyDescent="0.2">
      <c r="A373" s="6" t="s">
        <v>3590</v>
      </c>
      <c r="B373" s="7" t="s">
        <v>3591</v>
      </c>
      <c r="C373" s="8">
        <v>1</v>
      </c>
      <c r="D373" s="9">
        <v>7.9</v>
      </c>
      <c r="E373" s="9">
        <v>7.9</v>
      </c>
      <c r="F373" s="10">
        <v>19.989999999999998</v>
      </c>
      <c r="G373" s="9">
        <v>19.989999999999998</v>
      </c>
      <c r="H373" s="8" t="s">
        <v>3587</v>
      </c>
      <c r="I373" s="7" t="s">
        <v>3203</v>
      </c>
      <c r="J373" s="11" t="s">
        <v>3231</v>
      </c>
      <c r="K373" s="7" t="s">
        <v>3387</v>
      </c>
      <c r="L373" s="7" t="s">
        <v>3425</v>
      </c>
      <c r="M373" s="12"/>
    </row>
    <row r="374" spans="1:13" ht="15.2" customHeight="1" x14ac:dyDescent="0.2">
      <c r="A374" s="6" t="s">
        <v>4398</v>
      </c>
      <c r="B374" s="7" t="s">
        <v>4399</v>
      </c>
      <c r="C374" s="8">
        <v>3</v>
      </c>
      <c r="D374" s="9">
        <v>7.7</v>
      </c>
      <c r="E374" s="9">
        <v>23.1</v>
      </c>
      <c r="F374" s="10">
        <v>18.989999999999998</v>
      </c>
      <c r="G374" s="9">
        <v>56.97</v>
      </c>
      <c r="H374" s="8" t="s">
        <v>4400</v>
      </c>
      <c r="I374" s="7" t="s">
        <v>3333</v>
      </c>
      <c r="J374" s="11" t="s">
        <v>3202</v>
      </c>
      <c r="K374" s="7" t="s">
        <v>3334</v>
      </c>
      <c r="L374" s="7" t="s">
        <v>3324</v>
      </c>
      <c r="M374" s="12"/>
    </row>
    <row r="375" spans="1:13" ht="15.2" customHeight="1" x14ac:dyDescent="0.2">
      <c r="A375" s="6" t="s">
        <v>2347</v>
      </c>
      <c r="B375" s="7" t="s">
        <v>2348</v>
      </c>
      <c r="C375" s="8">
        <v>1</v>
      </c>
      <c r="D375" s="9">
        <v>7.7</v>
      </c>
      <c r="E375" s="9">
        <v>7.7</v>
      </c>
      <c r="F375" s="10">
        <v>18.989999999999998</v>
      </c>
      <c r="G375" s="9">
        <v>18.989999999999998</v>
      </c>
      <c r="H375" s="8" t="s">
        <v>4400</v>
      </c>
      <c r="I375" s="7" t="s">
        <v>3333</v>
      </c>
      <c r="J375" s="11" t="s">
        <v>3220</v>
      </c>
      <c r="K375" s="7" t="s">
        <v>3334</v>
      </c>
      <c r="L375" s="7" t="s">
        <v>3324</v>
      </c>
      <c r="M375" s="12"/>
    </row>
    <row r="376" spans="1:13" ht="15.2" customHeight="1" x14ac:dyDescent="0.2">
      <c r="A376" s="6" t="s">
        <v>4205</v>
      </c>
      <c r="B376" s="7" t="s">
        <v>4206</v>
      </c>
      <c r="C376" s="8">
        <v>2</v>
      </c>
      <c r="D376" s="9">
        <v>7.7</v>
      </c>
      <c r="E376" s="9">
        <v>15.4</v>
      </c>
      <c r="F376" s="10">
        <v>18.989999999999998</v>
      </c>
      <c r="G376" s="9">
        <v>37.979999999999997</v>
      </c>
      <c r="H376" s="8" t="s">
        <v>4207</v>
      </c>
      <c r="I376" s="7" t="s">
        <v>3286</v>
      </c>
      <c r="J376" s="11" t="s">
        <v>3242</v>
      </c>
      <c r="K376" s="7" t="s">
        <v>3334</v>
      </c>
      <c r="L376" s="7" t="s">
        <v>3324</v>
      </c>
      <c r="M376" s="12"/>
    </row>
    <row r="377" spans="1:13" ht="15.2" customHeight="1" x14ac:dyDescent="0.2">
      <c r="A377" s="6" t="s">
        <v>1099</v>
      </c>
      <c r="B377" s="7" t="s">
        <v>1100</v>
      </c>
      <c r="C377" s="8">
        <v>2</v>
      </c>
      <c r="D377" s="9">
        <v>7.7</v>
      </c>
      <c r="E377" s="9">
        <v>15.4</v>
      </c>
      <c r="F377" s="10">
        <v>18.989999999999998</v>
      </c>
      <c r="G377" s="9">
        <v>37.979999999999997</v>
      </c>
      <c r="H377" s="8" t="s">
        <v>4400</v>
      </c>
      <c r="I377" s="7" t="s">
        <v>3333</v>
      </c>
      <c r="J377" s="11" t="s">
        <v>3242</v>
      </c>
      <c r="K377" s="7" t="s">
        <v>3334</v>
      </c>
      <c r="L377" s="7" t="s">
        <v>3324</v>
      </c>
      <c r="M377" s="12"/>
    </row>
    <row r="378" spans="1:13" ht="15.2" customHeight="1" x14ac:dyDescent="0.2">
      <c r="A378" s="6" t="s">
        <v>1857</v>
      </c>
      <c r="B378" s="7" t="s">
        <v>1858</v>
      </c>
      <c r="C378" s="8">
        <v>1</v>
      </c>
      <c r="D378" s="9">
        <v>7.5</v>
      </c>
      <c r="E378" s="9">
        <v>7.5</v>
      </c>
      <c r="F378" s="10">
        <v>19.989999999999998</v>
      </c>
      <c r="G378" s="9">
        <v>19.989999999999998</v>
      </c>
      <c r="H378" s="8" t="s">
        <v>1679</v>
      </c>
      <c r="I378" s="7" t="s">
        <v>3214</v>
      </c>
      <c r="J378" s="11" t="s">
        <v>3220</v>
      </c>
      <c r="K378" s="7" t="s">
        <v>3387</v>
      </c>
      <c r="L378" s="7" t="s">
        <v>3388</v>
      </c>
      <c r="M378" s="12"/>
    </row>
    <row r="379" spans="1:13" ht="15.2" customHeight="1" x14ac:dyDescent="0.2">
      <c r="A379" s="6" t="s">
        <v>1859</v>
      </c>
      <c r="B379" s="7" t="s">
        <v>1860</v>
      </c>
      <c r="C379" s="8">
        <v>1</v>
      </c>
      <c r="D379" s="9">
        <v>7.4</v>
      </c>
      <c r="E379" s="9">
        <v>7.4</v>
      </c>
      <c r="F379" s="10">
        <v>16.989999999999998</v>
      </c>
      <c r="G379" s="9">
        <v>16.989999999999998</v>
      </c>
      <c r="H379" s="8" t="s">
        <v>1861</v>
      </c>
      <c r="I379" s="7" t="s">
        <v>3321</v>
      </c>
      <c r="J379" s="11" t="s">
        <v>3220</v>
      </c>
      <c r="K379" s="7" t="s">
        <v>3387</v>
      </c>
      <c r="L379" s="7" t="s">
        <v>3410</v>
      </c>
      <c r="M379" s="12"/>
    </row>
    <row r="380" spans="1:13" ht="15.2" customHeight="1" x14ac:dyDescent="0.2">
      <c r="A380" s="6" t="s">
        <v>1965</v>
      </c>
      <c r="B380" s="7" t="s">
        <v>1966</v>
      </c>
      <c r="C380" s="8">
        <v>3</v>
      </c>
      <c r="D380" s="9">
        <v>7.4</v>
      </c>
      <c r="E380" s="9">
        <v>22.2</v>
      </c>
      <c r="F380" s="10">
        <v>16.989999999999998</v>
      </c>
      <c r="G380" s="9">
        <v>50.97</v>
      </c>
      <c r="H380" s="8" t="s">
        <v>1684</v>
      </c>
      <c r="I380" s="7" t="s">
        <v>3185</v>
      </c>
      <c r="J380" s="11" t="s">
        <v>3202</v>
      </c>
      <c r="K380" s="7" t="s">
        <v>3387</v>
      </c>
      <c r="L380" s="7" t="s">
        <v>3410</v>
      </c>
      <c r="M380" s="12"/>
    </row>
    <row r="381" spans="1:13" ht="15.2" customHeight="1" x14ac:dyDescent="0.2">
      <c r="A381" s="6" t="s">
        <v>1101</v>
      </c>
      <c r="B381" s="7" t="s">
        <v>1102</v>
      </c>
      <c r="C381" s="8">
        <v>1</v>
      </c>
      <c r="D381" s="9">
        <v>7</v>
      </c>
      <c r="E381" s="9">
        <v>7</v>
      </c>
      <c r="F381" s="10">
        <v>16.989999999999998</v>
      </c>
      <c r="G381" s="9">
        <v>16.989999999999998</v>
      </c>
      <c r="H381" s="8" t="s">
        <v>4049</v>
      </c>
      <c r="I381" s="7" t="s">
        <v>3185</v>
      </c>
      <c r="J381" s="11" t="s">
        <v>3242</v>
      </c>
      <c r="K381" s="7" t="s">
        <v>3343</v>
      </c>
      <c r="L381" s="7" t="s">
        <v>3324</v>
      </c>
      <c r="M381" s="12"/>
    </row>
    <row r="382" spans="1:13" ht="15.2" customHeight="1" x14ac:dyDescent="0.2">
      <c r="A382" s="6" t="s">
        <v>1688</v>
      </c>
      <c r="B382" s="7" t="s">
        <v>1689</v>
      </c>
      <c r="C382" s="8">
        <v>1</v>
      </c>
      <c r="D382" s="9">
        <v>6.85</v>
      </c>
      <c r="E382" s="9">
        <v>6.85</v>
      </c>
      <c r="F382" s="10">
        <v>16.989999999999998</v>
      </c>
      <c r="G382" s="9">
        <v>16.989999999999998</v>
      </c>
      <c r="H382" s="8" t="s">
        <v>1687</v>
      </c>
      <c r="I382" s="7" t="s">
        <v>3382</v>
      </c>
      <c r="J382" s="11" t="s">
        <v>3242</v>
      </c>
      <c r="K382" s="7" t="s">
        <v>3323</v>
      </c>
      <c r="L382" s="7" t="s">
        <v>3371</v>
      </c>
      <c r="M382" s="12"/>
    </row>
    <row r="383" spans="1:13" ht="15.2" customHeight="1" x14ac:dyDescent="0.2">
      <c r="A383" s="6" t="s">
        <v>1967</v>
      </c>
      <c r="B383" s="7" t="s">
        <v>1968</v>
      </c>
      <c r="C383" s="8">
        <v>1</v>
      </c>
      <c r="D383" s="9">
        <v>6.85</v>
      </c>
      <c r="E383" s="9">
        <v>6.85</v>
      </c>
      <c r="F383" s="10">
        <v>16.989999999999998</v>
      </c>
      <c r="G383" s="9">
        <v>16.989999999999998</v>
      </c>
      <c r="H383" s="8" t="s">
        <v>1687</v>
      </c>
      <c r="I383" s="7" t="s">
        <v>3185</v>
      </c>
      <c r="J383" s="11" t="s">
        <v>3186</v>
      </c>
      <c r="K383" s="7" t="s">
        <v>3323</v>
      </c>
      <c r="L383" s="7" t="s">
        <v>3371</v>
      </c>
      <c r="M383" s="12"/>
    </row>
    <row r="384" spans="1:13" ht="15.2" customHeight="1" x14ac:dyDescent="0.2">
      <c r="A384" s="6" t="s">
        <v>1881</v>
      </c>
      <c r="B384" s="7" t="s">
        <v>1882</v>
      </c>
      <c r="C384" s="8">
        <v>1</v>
      </c>
      <c r="D384" s="9">
        <v>6.35</v>
      </c>
      <c r="E384" s="9">
        <v>6.35</v>
      </c>
      <c r="F384" s="10">
        <v>12.99</v>
      </c>
      <c r="G384" s="9">
        <v>12.99</v>
      </c>
      <c r="H384" s="8" t="s">
        <v>1695</v>
      </c>
      <c r="I384" s="7" t="s">
        <v>3396</v>
      </c>
      <c r="J384" s="11" t="s">
        <v>3186</v>
      </c>
      <c r="K384" s="7" t="s">
        <v>3387</v>
      </c>
      <c r="L384" s="7" t="s">
        <v>3410</v>
      </c>
      <c r="M384" s="12"/>
    </row>
    <row r="385" spans="1:13" ht="15.2" customHeight="1" x14ac:dyDescent="0.2">
      <c r="A385" s="6" t="s">
        <v>1103</v>
      </c>
      <c r="B385" s="7" t="s">
        <v>1104</v>
      </c>
      <c r="C385" s="8">
        <v>6</v>
      </c>
      <c r="D385" s="9">
        <v>6.35</v>
      </c>
      <c r="E385" s="9">
        <v>38.1</v>
      </c>
      <c r="F385" s="10">
        <v>12.99</v>
      </c>
      <c r="G385" s="9">
        <v>77.94</v>
      </c>
      <c r="H385" s="8" t="s">
        <v>1779</v>
      </c>
      <c r="I385" s="7"/>
      <c r="J385" s="11" t="s">
        <v>3220</v>
      </c>
      <c r="K385" s="7" t="s">
        <v>3387</v>
      </c>
      <c r="L385" s="7" t="s">
        <v>3410</v>
      </c>
      <c r="M385" s="12"/>
    </row>
    <row r="386" spans="1:13" ht="15.2" customHeight="1" x14ac:dyDescent="0.2">
      <c r="A386" s="6" t="s">
        <v>1696</v>
      </c>
      <c r="B386" s="7" t="s">
        <v>1697</v>
      </c>
      <c r="C386" s="8">
        <v>1</v>
      </c>
      <c r="D386" s="9">
        <v>6.35</v>
      </c>
      <c r="E386" s="9">
        <v>6.35</v>
      </c>
      <c r="F386" s="10">
        <v>12.99</v>
      </c>
      <c r="G386" s="9">
        <v>12.99</v>
      </c>
      <c r="H386" s="8" t="s">
        <v>1692</v>
      </c>
      <c r="I386" s="7" t="s">
        <v>3396</v>
      </c>
      <c r="J386" s="11" t="s">
        <v>3186</v>
      </c>
      <c r="K386" s="7" t="s">
        <v>3387</v>
      </c>
      <c r="L386" s="7" t="s">
        <v>3410</v>
      </c>
      <c r="M386" s="12"/>
    </row>
    <row r="387" spans="1:13" ht="15.2" customHeight="1" x14ac:dyDescent="0.2">
      <c r="A387" s="6" t="s">
        <v>1105</v>
      </c>
      <c r="B387" s="7" t="s">
        <v>1106</v>
      </c>
      <c r="C387" s="8">
        <v>1</v>
      </c>
      <c r="D387" s="9">
        <v>6.3</v>
      </c>
      <c r="E387" s="9">
        <v>6.3</v>
      </c>
      <c r="F387" s="10">
        <v>14.99</v>
      </c>
      <c r="G387" s="9">
        <v>14.99</v>
      </c>
      <c r="H387" s="8" t="s">
        <v>1107</v>
      </c>
      <c r="I387" s="7" t="s">
        <v>3185</v>
      </c>
      <c r="J387" s="11" t="s">
        <v>3186</v>
      </c>
      <c r="K387" s="7" t="s">
        <v>3300</v>
      </c>
      <c r="L387" s="7" t="s">
        <v>3301</v>
      </c>
      <c r="M387" s="12"/>
    </row>
    <row r="388" spans="1:13" ht="15.2" customHeight="1" x14ac:dyDescent="0.2">
      <c r="A388" s="6" t="s">
        <v>2105</v>
      </c>
      <c r="B388" s="7" t="s">
        <v>2106</v>
      </c>
      <c r="C388" s="8">
        <v>2</v>
      </c>
      <c r="D388" s="9">
        <v>6.25</v>
      </c>
      <c r="E388" s="9">
        <v>12.5</v>
      </c>
      <c r="F388" s="10">
        <v>12.99</v>
      </c>
      <c r="G388" s="9">
        <v>25.98</v>
      </c>
      <c r="H388" s="8" t="s">
        <v>2102</v>
      </c>
      <c r="I388" s="7" t="s">
        <v>3252</v>
      </c>
      <c r="J388" s="11" t="s">
        <v>3186</v>
      </c>
      <c r="K388" s="7" t="s">
        <v>3387</v>
      </c>
      <c r="L388" s="7" t="s">
        <v>3440</v>
      </c>
      <c r="M388" s="12"/>
    </row>
    <row r="389" spans="1:13" ht="15.2" customHeight="1" x14ac:dyDescent="0.2">
      <c r="A389" s="6" t="s">
        <v>1108</v>
      </c>
      <c r="B389" s="7" t="s">
        <v>1109</v>
      </c>
      <c r="C389" s="8">
        <v>1</v>
      </c>
      <c r="D389" s="9">
        <v>6.25</v>
      </c>
      <c r="E389" s="9">
        <v>6.25</v>
      </c>
      <c r="F389" s="10">
        <v>14.99</v>
      </c>
      <c r="G389" s="9">
        <v>14.99</v>
      </c>
      <c r="H389" s="8" t="s">
        <v>1564</v>
      </c>
      <c r="I389" s="7" t="s">
        <v>3252</v>
      </c>
      <c r="J389" s="11" t="s">
        <v>3202</v>
      </c>
      <c r="K389" s="7" t="s">
        <v>3300</v>
      </c>
      <c r="L389" s="7" t="s">
        <v>3301</v>
      </c>
      <c r="M389" s="12"/>
    </row>
    <row r="390" spans="1:13" ht="15.2" customHeight="1" x14ac:dyDescent="0.2">
      <c r="A390" s="6" t="s">
        <v>1110</v>
      </c>
      <c r="B390" s="7" t="s">
        <v>1111</v>
      </c>
      <c r="C390" s="8">
        <v>4</v>
      </c>
      <c r="D390" s="9">
        <v>6.25</v>
      </c>
      <c r="E390" s="9">
        <v>25</v>
      </c>
      <c r="F390" s="10">
        <v>12.99</v>
      </c>
      <c r="G390" s="9">
        <v>51.96</v>
      </c>
      <c r="H390" s="8" t="s">
        <v>2102</v>
      </c>
      <c r="I390" s="7" t="s">
        <v>3252</v>
      </c>
      <c r="J390" s="11" t="s">
        <v>3202</v>
      </c>
      <c r="K390" s="7" t="s">
        <v>3387</v>
      </c>
      <c r="L390" s="7" t="s">
        <v>3440</v>
      </c>
      <c r="M390" s="12"/>
    </row>
    <row r="391" spans="1:13" ht="15.2" customHeight="1" x14ac:dyDescent="0.2">
      <c r="A391" s="6" t="s">
        <v>658</v>
      </c>
      <c r="B391" s="7" t="s">
        <v>659</v>
      </c>
      <c r="C391" s="8">
        <v>1</v>
      </c>
      <c r="D391" s="9">
        <v>6</v>
      </c>
      <c r="E391" s="9">
        <v>6</v>
      </c>
      <c r="F391" s="10">
        <v>13.99</v>
      </c>
      <c r="G391" s="9">
        <v>13.99</v>
      </c>
      <c r="H391" s="8" t="s">
        <v>1976</v>
      </c>
      <c r="I391" s="7" t="s">
        <v>3185</v>
      </c>
      <c r="J391" s="11" t="s">
        <v>3202</v>
      </c>
      <c r="K391" s="7" t="s">
        <v>3387</v>
      </c>
      <c r="L391" s="7" t="s">
        <v>3356</v>
      </c>
      <c r="M391" s="12"/>
    </row>
    <row r="392" spans="1:13" ht="15.2" customHeight="1" x14ac:dyDescent="0.2">
      <c r="A392" s="6" t="s">
        <v>2473</v>
      </c>
      <c r="B392" s="7" t="s">
        <v>2474</v>
      </c>
      <c r="C392" s="8">
        <v>1</v>
      </c>
      <c r="D392" s="9">
        <v>6</v>
      </c>
      <c r="E392" s="9">
        <v>6</v>
      </c>
      <c r="F392" s="10">
        <v>13.99</v>
      </c>
      <c r="G392" s="9">
        <v>13.99</v>
      </c>
      <c r="H392" s="8" t="s">
        <v>3599</v>
      </c>
      <c r="I392" s="7" t="s">
        <v>3252</v>
      </c>
      <c r="J392" s="11" t="s">
        <v>3202</v>
      </c>
      <c r="K392" s="7" t="s">
        <v>3387</v>
      </c>
      <c r="L392" s="7" t="s">
        <v>3371</v>
      </c>
      <c r="M392" s="12"/>
    </row>
    <row r="393" spans="1:13" ht="15.2" customHeight="1" x14ac:dyDescent="0.2">
      <c r="A393" s="6" t="s">
        <v>744</v>
      </c>
      <c r="B393" s="7" t="s">
        <v>745</v>
      </c>
      <c r="C393" s="8">
        <v>1</v>
      </c>
      <c r="D393" s="9">
        <v>6</v>
      </c>
      <c r="E393" s="9">
        <v>6</v>
      </c>
      <c r="F393" s="10">
        <v>13.99</v>
      </c>
      <c r="G393" s="9">
        <v>13.99</v>
      </c>
      <c r="H393" s="8" t="s">
        <v>3599</v>
      </c>
      <c r="I393" s="7" t="s">
        <v>3185</v>
      </c>
      <c r="J393" s="11" t="s">
        <v>3186</v>
      </c>
      <c r="K393" s="7" t="s">
        <v>3387</v>
      </c>
      <c r="L393" s="7" t="s">
        <v>3371</v>
      </c>
      <c r="M393" s="12"/>
    </row>
    <row r="394" spans="1:13" ht="15.2" customHeight="1" x14ac:dyDescent="0.2">
      <c r="A394" s="6" t="s">
        <v>1112</v>
      </c>
      <c r="B394" s="7" t="s">
        <v>1113</v>
      </c>
      <c r="C394" s="8">
        <v>1</v>
      </c>
      <c r="D394" s="9">
        <v>6</v>
      </c>
      <c r="E394" s="9">
        <v>6</v>
      </c>
      <c r="F394" s="10">
        <v>13.99</v>
      </c>
      <c r="G394" s="9">
        <v>13.99</v>
      </c>
      <c r="H394" s="8" t="s">
        <v>3599</v>
      </c>
      <c r="I394" s="7" t="s">
        <v>3252</v>
      </c>
      <c r="J394" s="11" t="s">
        <v>3186</v>
      </c>
      <c r="K394" s="7" t="s">
        <v>3387</v>
      </c>
      <c r="L394" s="7" t="s">
        <v>3371</v>
      </c>
      <c r="M394" s="12"/>
    </row>
    <row r="395" spans="1:13" ht="15.2" customHeight="1" x14ac:dyDescent="0.2">
      <c r="A395" s="6" t="s">
        <v>1114</v>
      </c>
      <c r="B395" s="7" t="s">
        <v>1115</v>
      </c>
      <c r="C395" s="8">
        <v>1</v>
      </c>
      <c r="D395" s="9">
        <v>6</v>
      </c>
      <c r="E395" s="9">
        <v>6</v>
      </c>
      <c r="F395" s="10">
        <v>13.99</v>
      </c>
      <c r="G395" s="9">
        <v>13.99</v>
      </c>
      <c r="H395" s="8" t="s">
        <v>3599</v>
      </c>
      <c r="I395" s="7" t="s">
        <v>3257</v>
      </c>
      <c r="J395" s="11" t="s">
        <v>3242</v>
      </c>
      <c r="K395" s="7" t="s">
        <v>3387</v>
      </c>
      <c r="L395" s="7" t="s">
        <v>3371</v>
      </c>
      <c r="M395" s="12"/>
    </row>
    <row r="396" spans="1:13" ht="15.2" customHeight="1" x14ac:dyDescent="0.2">
      <c r="A396" s="6" t="s">
        <v>1116</v>
      </c>
      <c r="B396" s="7" t="s">
        <v>1117</v>
      </c>
      <c r="C396" s="8">
        <v>1</v>
      </c>
      <c r="D396" s="9">
        <v>6</v>
      </c>
      <c r="E396" s="9">
        <v>6</v>
      </c>
      <c r="F396" s="10">
        <v>12.99</v>
      </c>
      <c r="G396" s="9">
        <v>12.99</v>
      </c>
      <c r="H396" s="8" t="s">
        <v>1118</v>
      </c>
      <c r="I396" s="7" t="s">
        <v>3252</v>
      </c>
      <c r="J396" s="11" t="s">
        <v>3186</v>
      </c>
      <c r="K396" s="7" t="s">
        <v>3387</v>
      </c>
      <c r="L396" s="7" t="s">
        <v>3425</v>
      </c>
      <c r="M396" s="12"/>
    </row>
    <row r="397" spans="1:13" ht="15.2" customHeight="1" x14ac:dyDescent="0.2">
      <c r="A397" s="6" t="s">
        <v>1119</v>
      </c>
      <c r="B397" s="7" t="s">
        <v>1120</v>
      </c>
      <c r="C397" s="8">
        <v>1</v>
      </c>
      <c r="D397" s="9">
        <v>6</v>
      </c>
      <c r="E397" s="9">
        <v>6</v>
      </c>
      <c r="F397" s="10">
        <v>13.99</v>
      </c>
      <c r="G397" s="9">
        <v>13.99</v>
      </c>
      <c r="H397" s="8" t="s">
        <v>3599</v>
      </c>
      <c r="I397" s="7" t="s">
        <v>3246</v>
      </c>
      <c r="J397" s="11" t="s">
        <v>3202</v>
      </c>
      <c r="K397" s="7" t="s">
        <v>3387</v>
      </c>
      <c r="L397" s="7" t="s">
        <v>3371</v>
      </c>
      <c r="M397" s="12"/>
    </row>
    <row r="398" spans="1:13" ht="15.2" customHeight="1" x14ac:dyDescent="0.2">
      <c r="A398" s="6" t="s">
        <v>1121</v>
      </c>
      <c r="B398" s="7" t="s">
        <v>1122</v>
      </c>
      <c r="C398" s="8">
        <v>1</v>
      </c>
      <c r="D398" s="9">
        <v>5.95</v>
      </c>
      <c r="E398" s="9">
        <v>5.95</v>
      </c>
      <c r="F398" s="10">
        <v>12.99</v>
      </c>
      <c r="G398" s="9">
        <v>12.99</v>
      </c>
      <c r="H398" s="8" t="s">
        <v>1123</v>
      </c>
      <c r="I398" s="7" t="s">
        <v>3286</v>
      </c>
      <c r="J398" s="11" t="s">
        <v>3202</v>
      </c>
      <c r="K398" s="7" t="s">
        <v>3387</v>
      </c>
      <c r="L398" s="7" t="s">
        <v>3429</v>
      </c>
      <c r="M398" s="12"/>
    </row>
    <row r="399" spans="1:13" ht="15.2" customHeight="1" x14ac:dyDescent="0.2">
      <c r="A399" s="6" t="s">
        <v>1886</v>
      </c>
      <c r="B399" s="7" t="s">
        <v>1887</v>
      </c>
      <c r="C399" s="8">
        <v>1</v>
      </c>
      <c r="D399" s="9">
        <v>5.9</v>
      </c>
      <c r="E399" s="9">
        <v>5.9</v>
      </c>
      <c r="F399" s="10">
        <v>13.99</v>
      </c>
      <c r="G399" s="9">
        <v>13.99</v>
      </c>
      <c r="H399" s="8" t="s">
        <v>1885</v>
      </c>
      <c r="I399" s="7" t="s">
        <v>3203</v>
      </c>
      <c r="J399" s="11" t="s">
        <v>3202</v>
      </c>
      <c r="K399" s="7" t="s">
        <v>3387</v>
      </c>
      <c r="L399" s="7" t="s">
        <v>3344</v>
      </c>
      <c r="M399" s="12"/>
    </row>
    <row r="400" spans="1:13" ht="15.2" customHeight="1" x14ac:dyDescent="0.2">
      <c r="A400" s="6" t="s">
        <v>3601</v>
      </c>
      <c r="B400" s="7" t="s">
        <v>3602</v>
      </c>
      <c r="C400" s="8">
        <v>1</v>
      </c>
      <c r="D400" s="9">
        <v>5.75</v>
      </c>
      <c r="E400" s="9">
        <v>5.75</v>
      </c>
      <c r="F400" s="10">
        <v>12.99</v>
      </c>
      <c r="G400" s="9">
        <v>12.99</v>
      </c>
      <c r="H400" s="8" t="s">
        <v>3603</v>
      </c>
      <c r="I400" s="7" t="s">
        <v>3185</v>
      </c>
      <c r="J400" s="11" t="s">
        <v>3202</v>
      </c>
      <c r="K400" s="7" t="s">
        <v>3387</v>
      </c>
      <c r="L400" s="7" t="s">
        <v>3440</v>
      </c>
      <c r="M400" s="12"/>
    </row>
    <row r="401" spans="1:13" ht="15.2" customHeight="1" x14ac:dyDescent="0.2">
      <c r="A401" s="6" t="s">
        <v>1572</v>
      </c>
      <c r="B401" s="7" t="s">
        <v>2475</v>
      </c>
      <c r="C401" s="8">
        <v>1</v>
      </c>
      <c r="D401" s="9">
        <v>5.75</v>
      </c>
      <c r="E401" s="9">
        <v>5.75</v>
      </c>
      <c r="F401" s="10">
        <v>12.99</v>
      </c>
      <c r="G401" s="9">
        <v>12.99</v>
      </c>
      <c r="H401" s="8" t="s">
        <v>2476</v>
      </c>
      <c r="I401" s="7" t="s">
        <v>3185</v>
      </c>
      <c r="J401" s="11" t="s">
        <v>3231</v>
      </c>
      <c r="K401" s="7" t="s">
        <v>3387</v>
      </c>
      <c r="L401" s="7" t="s">
        <v>3440</v>
      </c>
      <c r="M401" s="12"/>
    </row>
    <row r="402" spans="1:13" ht="15.2" customHeight="1" x14ac:dyDescent="0.2">
      <c r="A402" s="6" t="s">
        <v>1574</v>
      </c>
      <c r="B402" s="7" t="s">
        <v>3602</v>
      </c>
      <c r="C402" s="8">
        <v>1</v>
      </c>
      <c r="D402" s="9">
        <v>5.75</v>
      </c>
      <c r="E402" s="9">
        <v>5.75</v>
      </c>
      <c r="F402" s="10">
        <v>12.99</v>
      </c>
      <c r="G402" s="9">
        <v>12.99</v>
      </c>
      <c r="H402" s="8" t="s">
        <v>3603</v>
      </c>
      <c r="I402" s="7" t="s">
        <v>3185</v>
      </c>
      <c r="J402" s="11" t="s">
        <v>3186</v>
      </c>
      <c r="K402" s="7" t="s">
        <v>3387</v>
      </c>
      <c r="L402" s="7" t="s">
        <v>3440</v>
      </c>
      <c r="M402" s="12"/>
    </row>
    <row r="403" spans="1:13" ht="15.2" customHeight="1" x14ac:dyDescent="0.2">
      <c r="A403" s="6" t="s">
        <v>1702</v>
      </c>
      <c r="B403" s="7" t="s">
        <v>1703</v>
      </c>
      <c r="C403" s="8">
        <v>2</v>
      </c>
      <c r="D403" s="9">
        <v>5.5</v>
      </c>
      <c r="E403" s="9">
        <v>11</v>
      </c>
      <c r="F403" s="10">
        <v>12.99</v>
      </c>
      <c r="G403" s="9">
        <v>25.98</v>
      </c>
      <c r="H403" s="8" t="s">
        <v>1580</v>
      </c>
      <c r="I403" s="7" t="s">
        <v>3182</v>
      </c>
      <c r="J403" s="11" t="s">
        <v>3220</v>
      </c>
      <c r="K403" s="7" t="s">
        <v>3387</v>
      </c>
      <c r="L403" s="7" t="s">
        <v>3388</v>
      </c>
      <c r="M403" s="12"/>
    </row>
    <row r="404" spans="1:13" ht="15.2" customHeight="1" x14ac:dyDescent="0.2">
      <c r="A404" s="6" t="s">
        <v>3613</v>
      </c>
      <c r="B404" s="7" t="s">
        <v>3614</v>
      </c>
      <c r="C404" s="8">
        <v>1</v>
      </c>
      <c r="D404" s="9">
        <v>5.5</v>
      </c>
      <c r="E404" s="9">
        <v>5.5</v>
      </c>
      <c r="F404" s="10">
        <v>12.99</v>
      </c>
      <c r="G404" s="9">
        <v>12.99</v>
      </c>
      <c r="H404" s="8" t="s">
        <v>3615</v>
      </c>
      <c r="I404" s="7" t="s">
        <v>3252</v>
      </c>
      <c r="J404" s="11" t="s">
        <v>3220</v>
      </c>
      <c r="K404" s="7" t="s">
        <v>3387</v>
      </c>
      <c r="L404" s="7" t="s">
        <v>3404</v>
      </c>
      <c r="M404" s="12"/>
    </row>
    <row r="405" spans="1:13" ht="15.2" customHeight="1" x14ac:dyDescent="0.2">
      <c r="A405" s="6" t="s">
        <v>3625</v>
      </c>
      <c r="B405" s="7" t="s">
        <v>3626</v>
      </c>
      <c r="C405" s="8">
        <v>1</v>
      </c>
      <c r="D405" s="9">
        <v>5.5</v>
      </c>
      <c r="E405" s="9">
        <v>5.5</v>
      </c>
      <c r="F405" s="10">
        <v>13.99</v>
      </c>
      <c r="G405" s="9">
        <v>13.99</v>
      </c>
      <c r="H405" s="8" t="s">
        <v>3606</v>
      </c>
      <c r="I405" s="7" t="s">
        <v>3203</v>
      </c>
      <c r="J405" s="11" t="s">
        <v>3186</v>
      </c>
      <c r="K405" s="7" t="s">
        <v>3241</v>
      </c>
      <c r="L405" s="7" t="s">
        <v>3427</v>
      </c>
      <c r="M405" s="12"/>
    </row>
    <row r="406" spans="1:13" ht="15.2" customHeight="1" x14ac:dyDescent="0.2">
      <c r="A406" s="6" t="s">
        <v>1124</v>
      </c>
      <c r="B406" s="7" t="s">
        <v>3623</v>
      </c>
      <c r="C406" s="8">
        <v>1</v>
      </c>
      <c r="D406" s="9">
        <v>5.5</v>
      </c>
      <c r="E406" s="9">
        <v>5.5</v>
      </c>
      <c r="F406" s="10">
        <v>12.99</v>
      </c>
      <c r="G406" s="9">
        <v>12.99</v>
      </c>
      <c r="H406" s="8" t="s">
        <v>3624</v>
      </c>
      <c r="I406" s="7" t="s">
        <v>3286</v>
      </c>
      <c r="J406" s="11" t="s">
        <v>3242</v>
      </c>
      <c r="K406" s="7" t="s">
        <v>3387</v>
      </c>
      <c r="L406" s="7" t="s">
        <v>3404</v>
      </c>
      <c r="M406" s="12"/>
    </row>
    <row r="407" spans="1:13" ht="15.2" customHeight="1" x14ac:dyDescent="0.2">
      <c r="A407" s="6" t="s">
        <v>1979</v>
      </c>
      <c r="B407" s="7" t="s">
        <v>1980</v>
      </c>
      <c r="C407" s="8">
        <v>1</v>
      </c>
      <c r="D407" s="9">
        <v>5.5</v>
      </c>
      <c r="E407" s="9">
        <v>5.5</v>
      </c>
      <c r="F407" s="10">
        <v>12.99</v>
      </c>
      <c r="G407" s="9">
        <v>12.99</v>
      </c>
      <c r="H407" s="8" t="s">
        <v>1577</v>
      </c>
      <c r="I407" s="7" t="s">
        <v>3185</v>
      </c>
      <c r="J407" s="11" t="s">
        <v>3231</v>
      </c>
      <c r="K407" s="7" t="s">
        <v>3387</v>
      </c>
      <c r="L407" s="7" t="s">
        <v>3388</v>
      </c>
      <c r="M407" s="12"/>
    </row>
    <row r="408" spans="1:13" ht="15.2" customHeight="1" x14ac:dyDescent="0.2">
      <c r="A408" s="6" t="s">
        <v>1578</v>
      </c>
      <c r="B408" s="7" t="s">
        <v>1579</v>
      </c>
      <c r="C408" s="8">
        <v>2</v>
      </c>
      <c r="D408" s="9">
        <v>5.5</v>
      </c>
      <c r="E408" s="9">
        <v>11</v>
      </c>
      <c r="F408" s="10">
        <v>12.99</v>
      </c>
      <c r="G408" s="9">
        <v>25.98</v>
      </c>
      <c r="H408" s="8" t="s">
        <v>1580</v>
      </c>
      <c r="I408" s="7" t="s">
        <v>3182</v>
      </c>
      <c r="J408" s="11" t="s">
        <v>3202</v>
      </c>
      <c r="K408" s="7" t="s">
        <v>3387</v>
      </c>
      <c r="L408" s="7" t="s">
        <v>3388</v>
      </c>
      <c r="M408" s="12"/>
    </row>
    <row r="409" spans="1:13" ht="15.2" customHeight="1" x14ac:dyDescent="0.2">
      <c r="A409" s="6" t="s">
        <v>2195</v>
      </c>
      <c r="B409" s="7" t="s">
        <v>2196</v>
      </c>
      <c r="C409" s="8">
        <v>1</v>
      </c>
      <c r="D409" s="9">
        <v>5.5</v>
      </c>
      <c r="E409" s="9">
        <v>5.5</v>
      </c>
      <c r="F409" s="10">
        <v>13.99</v>
      </c>
      <c r="G409" s="9">
        <v>13.99</v>
      </c>
      <c r="H409" s="8" t="s">
        <v>3606</v>
      </c>
      <c r="I409" s="7" t="s">
        <v>3257</v>
      </c>
      <c r="J409" s="11" t="s">
        <v>3186</v>
      </c>
      <c r="K409" s="7" t="s">
        <v>3241</v>
      </c>
      <c r="L409" s="7" t="s">
        <v>3427</v>
      </c>
      <c r="M409" s="12"/>
    </row>
    <row r="410" spans="1:13" ht="15.2" customHeight="1" x14ac:dyDescent="0.2">
      <c r="A410" s="6" t="s">
        <v>3629</v>
      </c>
      <c r="B410" s="7" t="s">
        <v>3630</v>
      </c>
      <c r="C410" s="8">
        <v>1</v>
      </c>
      <c r="D410" s="9">
        <v>5.5</v>
      </c>
      <c r="E410" s="9">
        <v>5.5</v>
      </c>
      <c r="F410" s="10">
        <v>13.99</v>
      </c>
      <c r="G410" s="9">
        <v>13.99</v>
      </c>
      <c r="H410" s="8" t="s">
        <v>3606</v>
      </c>
      <c r="I410" s="7" t="s">
        <v>3257</v>
      </c>
      <c r="J410" s="11" t="s">
        <v>3231</v>
      </c>
      <c r="K410" s="7" t="s">
        <v>3241</v>
      </c>
      <c r="L410" s="7" t="s">
        <v>3427</v>
      </c>
      <c r="M410" s="12"/>
    </row>
    <row r="411" spans="1:13" ht="15.2" customHeight="1" x14ac:dyDescent="0.2">
      <c r="A411" s="6" t="s">
        <v>2031</v>
      </c>
      <c r="B411" s="7" t="s">
        <v>2032</v>
      </c>
      <c r="C411" s="8">
        <v>1</v>
      </c>
      <c r="D411" s="9">
        <v>5.5</v>
      </c>
      <c r="E411" s="9">
        <v>5.5</v>
      </c>
      <c r="F411" s="10">
        <v>19.989999999999998</v>
      </c>
      <c r="G411" s="9">
        <v>19.989999999999998</v>
      </c>
      <c r="H411" s="8" t="s">
        <v>1889</v>
      </c>
      <c r="I411" s="7" t="s">
        <v>3185</v>
      </c>
      <c r="J411" s="11" t="s">
        <v>3220</v>
      </c>
      <c r="K411" s="7" t="s">
        <v>3323</v>
      </c>
      <c r="L411" s="7" t="s">
        <v>3344</v>
      </c>
      <c r="M411" s="12"/>
    </row>
  </sheetData>
  <phoneticPr fontId="0" type="noConversion"/>
  <pageMargins left="0.5" right="0.5" top="0.25" bottom="0.25" header="0.3" footer="0.3"/>
  <pageSetup scale="65" orientation="landscape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topLeftCell="A4" workbookViewId="0">
      <selection activeCell="B37" sqref="B37"/>
    </sheetView>
  </sheetViews>
  <sheetFormatPr defaultRowHeight="15.2" customHeight="1" x14ac:dyDescent="0.2"/>
  <cols>
    <col min="1" max="1" width="14.85546875" style="1" bestFit="1" customWidth="1"/>
    <col min="2" max="2" width="76.140625" style="1" bestFit="1" customWidth="1"/>
    <col min="3" max="3" width="6.42578125" style="1" bestFit="1" customWidth="1"/>
    <col min="4" max="4" width="7.5703125" style="1" bestFit="1" customWidth="1"/>
    <col min="5" max="5" width="9.5703125" style="1" bestFit="1" customWidth="1"/>
    <col min="6" max="6" width="7.5703125" style="1" bestFit="1" customWidth="1"/>
    <col min="7" max="7" width="11.140625" style="1" bestFit="1" customWidth="1"/>
    <col min="8" max="8" width="22.7109375" style="1" bestFit="1" customWidth="1"/>
    <col min="9" max="9" width="14.7109375" style="1" bestFit="1" customWidth="1"/>
    <col min="10" max="10" width="10.7109375" style="1" bestFit="1" customWidth="1"/>
    <col min="11" max="11" width="16.42578125" style="1" bestFit="1" customWidth="1"/>
    <col min="12" max="12" width="43.7109375" style="1" bestFit="1" customWidth="1"/>
    <col min="13" max="13" width="49.42578125" style="1" bestFit="1" customWidth="1"/>
    <col min="14" max="16384" width="9.140625" style="1"/>
  </cols>
  <sheetData>
    <row r="1" spans="1:13" ht="15.2" customHeight="1" x14ac:dyDescent="0.2">
      <c r="A1" s="5" t="s">
        <v>3181</v>
      </c>
      <c r="B1" s="5" t="s">
        <v>249</v>
      </c>
      <c r="C1" s="5" t="s">
        <v>236</v>
      </c>
      <c r="D1" s="5" t="s">
        <v>247</v>
      </c>
      <c r="E1" s="5" t="s">
        <v>248</v>
      </c>
      <c r="F1" s="5" t="s">
        <v>239</v>
      </c>
      <c r="G1" s="5" t="s">
        <v>240</v>
      </c>
      <c r="H1" s="5" t="s">
        <v>241</v>
      </c>
      <c r="I1" s="5" t="s">
        <v>242</v>
      </c>
      <c r="J1" s="5" t="s">
        <v>243</v>
      </c>
      <c r="K1" s="5" t="s">
        <v>244</v>
      </c>
      <c r="L1" s="5" t="s">
        <v>245</v>
      </c>
      <c r="M1" s="5" t="s">
        <v>246</v>
      </c>
    </row>
    <row r="2" spans="1:13" ht="15.2" customHeight="1" x14ac:dyDescent="0.2">
      <c r="A2" s="6" t="s">
        <v>3633</v>
      </c>
      <c r="B2" s="7" t="s">
        <v>3634</v>
      </c>
      <c r="C2" s="8">
        <v>1</v>
      </c>
      <c r="D2" s="9">
        <v>31.83</v>
      </c>
      <c r="E2" s="9">
        <v>31.83</v>
      </c>
      <c r="F2" s="10">
        <v>72.989999999999995</v>
      </c>
      <c r="G2" s="9">
        <v>72.989999999999995</v>
      </c>
      <c r="H2" s="8" t="s">
        <v>3635</v>
      </c>
      <c r="I2" s="7" t="s">
        <v>3416</v>
      </c>
      <c r="J2" s="11" t="s">
        <v>3242</v>
      </c>
      <c r="K2" s="7" t="s">
        <v>3221</v>
      </c>
      <c r="L2" s="7" t="s">
        <v>3631</v>
      </c>
      <c r="M2" s="12" t="str">
        <f>HYPERLINK("http://slimages.macys.com/is/image/MCY/3828767 ")</f>
        <v xml:space="preserve">http://slimages.macys.com/is/image/MCY/3828767 </v>
      </c>
    </row>
    <row r="3" spans="1:13" ht="15.2" customHeight="1" x14ac:dyDescent="0.2">
      <c r="A3" s="6" t="s">
        <v>1162</v>
      </c>
      <c r="B3" s="7" t="s">
        <v>1163</v>
      </c>
      <c r="C3" s="8">
        <v>1</v>
      </c>
      <c r="D3" s="9">
        <v>31.83</v>
      </c>
      <c r="E3" s="9">
        <v>31.83</v>
      </c>
      <c r="F3" s="10">
        <v>72.989999999999995</v>
      </c>
      <c r="G3" s="9">
        <v>72.989999999999995</v>
      </c>
      <c r="H3" s="8" t="s">
        <v>3635</v>
      </c>
      <c r="I3" s="7" t="s">
        <v>3416</v>
      </c>
      <c r="J3" s="11" t="s">
        <v>3310</v>
      </c>
      <c r="K3" s="7" t="s">
        <v>3221</v>
      </c>
      <c r="L3" s="7" t="s">
        <v>3631</v>
      </c>
      <c r="M3" s="12" t="str">
        <f>HYPERLINK("http://slimages.macys.com/is/image/MCY/3828767 ")</f>
        <v xml:space="preserve">http://slimages.macys.com/is/image/MCY/3828767 </v>
      </c>
    </row>
    <row r="4" spans="1:13" ht="15.2" customHeight="1" x14ac:dyDescent="0.2">
      <c r="A4" s="6" t="s">
        <v>1137</v>
      </c>
      <c r="B4" s="7" t="s">
        <v>1138</v>
      </c>
      <c r="C4" s="8">
        <v>1</v>
      </c>
      <c r="D4" s="9">
        <v>27.2</v>
      </c>
      <c r="E4" s="9">
        <v>27.2</v>
      </c>
      <c r="F4" s="10">
        <v>79</v>
      </c>
      <c r="G4" s="9">
        <v>79</v>
      </c>
      <c r="H4" s="8" t="s">
        <v>1136</v>
      </c>
      <c r="I4" s="7" t="s">
        <v>3203</v>
      </c>
      <c r="J4" s="11" t="s">
        <v>3231</v>
      </c>
      <c r="K4" s="7" t="s">
        <v>3222</v>
      </c>
      <c r="L4" s="7" t="s">
        <v>3223</v>
      </c>
      <c r="M4" s="12" t="str">
        <f>HYPERLINK("http://slimages.macys.com/is/image/MCY/3611182 ")</f>
        <v xml:space="preserve">http://slimages.macys.com/is/image/MCY/3611182 </v>
      </c>
    </row>
    <row r="5" spans="1:13" ht="15.2" customHeight="1" x14ac:dyDescent="0.2">
      <c r="A5" s="6" t="s">
        <v>1786</v>
      </c>
      <c r="B5" s="7" t="s">
        <v>1787</v>
      </c>
      <c r="C5" s="8">
        <v>1</v>
      </c>
      <c r="D5" s="9">
        <v>24.97</v>
      </c>
      <c r="E5" s="9">
        <v>24.97</v>
      </c>
      <c r="F5" s="10">
        <v>69.5</v>
      </c>
      <c r="G5" s="9">
        <v>69.5</v>
      </c>
      <c r="H5" s="8" t="s">
        <v>3833</v>
      </c>
      <c r="I5" s="7" t="s">
        <v>3203</v>
      </c>
      <c r="J5" s="11" t="s">
        <v>3236</v>
      </c>
      <c r="K5" s="7" t="s">
        <v>3221</v>
      </c>
      <c r="L5" s="7" t="s">
        <v>3224</v>
      </c>
      <c r="M5" s="12" t="str">
        <f>HYPERLINK("http://slimages.macys.com/is/image/MCY/2962546 ")</f>
        <v xml:space="preserve">http://slimages.macys.com/is/image/MCY/2962546 </v>
      </c>
    </row>
    <row r="6" spans="1:13" ht="15.2" customHeight="1" x14ac:dyDescent="0.2">
      <c r="A6" s="6" t="s">
        <v>4052</v>
      </c>
      <c r="B6" s="7" t="s">
        <v>4053</v>
      </c>
      <c r="C6" s="8">
        <v>1</v>
      </c>
      <c r="D6" s="9">
        <v>24.97</v>
      </c>
      <c r="E6" s="9">
        <v>24.97</v>
      </c>
      <c r="F6" s="10">
        <v>69.5</v>
      </c>
      <c r="G6" s="9">
        <v>69.5</v>
      </c>
      <c r="H6" s="8" t="s">
        <v>3833</v>
      </c>
      <c r="I6" s="7" t="s">
        <v>3203</v>
      </c>
      <c r="J6" s="11" t="s">
        <v>3220</v>
      </c>
      <c r="K6" s="7" t="s">
        <v>3221</v>
      </c>
      <c r="L6" s="7" t="s">
        <v>3224</v>
      </c>
      <c r="M6" s="12" t="str">
        <f>HYPERLINK("http://slimages.macys.com/is/image/MCY/2962546 ")</f>
        <v xml:space="preserve">http://slimages.macys.com/is/image/MCY/2962546 </v>
      </c>
    </row>
    <row r="7" spans="1:13" ht="15.2" customHeight="1" x14ac:dyDescent="0.2">
      <c r="A7" s="6" t="s">
        <v>3834</v>
      </c>
      <c r="B7" s="7" t="s">
        <v>3835</v>
      </c>
      <c r="C7" s="8">
        <v>1</v>
      </c>
      <c r="D7" s="9">
        <v>24.97</v>
      </c>
      <c r="E7" s="9">
        <v>24.97</v>
      </c>
      <c r="F7" s="10">
        <v>69.5</v>
      </c>
      <c r="G7" s="9">
        <v>69.5</v>
      </c>
      <c r="H7" s="8" t="s">
        <v>3833</v>
      </c>
      <c r="I7" s="7" t="s">
        <v>3203</v>
      </c>
      <c r="J7" s="11" t="s">
        <v>3186</v>
      </c>
      <c r="K7" s="7" t="s">
        <v>3221</v>
      </c>
      <c r="L7" s="7" t="s">
        <v>3224</v>
      </c>
      <c r="M7" s="12" t="str">
        <f>HYPERLINK("http://slimages.macys.com/is/image/MCY/2962546 ")</f>
        <v xml:space="preserve">http://slimages.macys.com/is/image/MCY/2962546 </v>
      </c>
    </row>
    <row r="8" spans="1:13" ht="15.2" customHeight="1" x14ac:dyDescent="0.2">
      <c r="A8" s="6" t="s">
        <v>4217</v>
      </c>
      <c r="B8" s="7" t="s">
        <v>4218</v>
      </c>
      <c r="C8" s="8">
        <v>1</v>
      </c>
      <c r="D8" s="9">
        <v>24.97</v>
      </c>
      <c r="E8" s="9">
        <v>24.97</v>
      </c>
      <c r="F8" s="10">
        <v>69.5</v>
      </c>
      <c r="G8" s="9">
        <v>69.5</v>
      </c>
      <c r="H8" s="8" t="s">
        <v>3833</v>
      </c>
      <c r="I8" s="7" t="s">
        <v>3203</v>
      </c>
      <c r="J8" s="11" t="s">
        <v>3202</v>
      </c>
      <c r="K8" s="7" t="s">
        <v>3221</v>
      </c>
      <c r="L8" s="7" t="s">
        <v>3224</v>
      </c>
      <c r="M8" s="12" t="str">
        <f>HYPERLINK("http://slimages.macys.com/is/image/MCY/2962546 ")</f>
        <v xml:space="preserve">http://slimages.macys.com/is/image/MCY/2962546 </v>
      </c>
    </row>
    <row r="9" spans="1:13" ht="15.2" customHeight="1" x14ac:dyDescent="0.2">
      <c r="A9" s="6" t="s">
        <v>3836</v>
      </c>
      <c r="B9" s="7" t="s">
        <v>3837</v>
      </c>
      <c r="C9" s="8">
        <v>1</v>
      </c>
      <c r="D9" s="9">
        <v>24.45</v>
      </c>
      <c r="E9" s="9">
        <v>24.45</v>
      </c>
      <c r="F9" s="10">
        <v>79</v>
      </c>
      <c r="G9" s="9">
        <v>79</v>
      </c>
      <c r="H9" s="8" t="s">
        <v>3838</v>
      </c>
      <c r="I9" s="7" t="s">
        <v>3201</v>
      </c>
      <c r="J9" s="11" t="s">
        <v>3186</v>
      </c>
      <c r="K9" s="7" t="s">
        <v>3222</v>
      </c>
      <c r="L9" s="7" t="s">
        <v>3223</v>
      </c>
      <c r="M9" s="12" t="str">
        <f>HYPERLINK("http://slimages.macys.com/is/image/MCY/3503050 ")</f>
        <v xml:space="preserve">http://slimages.macys.com/is/image/MCY/3503050 </v>
      </c>
    </row>
    <row r="10" spans="1:13" ht="15.2" customHeight="1" x14ac:dyDescent="0.2">
      <c r="A10" s="6" t="s">
        <v>1164</v>
      </c>
      <c r="B10" s="7" t="s">
        <v>1165</v>
      </c>
      <c r="C10" s="8">
        <v>1</v>
      </c>
      <c r="D10" s="9">
        <v>24.25</v>
      </c>
      <c r="E10" s="9">
        <v>24.25</v>
      </c>
      <c r="F10" s="10">
        <v>69</v>
      </c>
      <c r="G10" s="9">
        <v>69</v>
      </c>
      <c r="H10" s="8" t="s">
        <v>1166</v>
      </c>
      <c r="I10" s="7" t="s">
        <v>3252</v>
      </c>
      <c r="J10" s="11" t="s">
        <v>3186</v>
      </c>
      <c r="K10" s="7" t="s">
        <v>3217</v>
      </c>
      <c r="L10" s="7" t="s">
        <v>3218</v>
      </c>
      <c r="M10" s="12" t="str">
        <f>HYPERLINK("http://slimages.macys.com/is/image/MCY/3503927 ")</f>
        <v xml:space="preserve">http://slimages.macys.com/is/image/MCY/3503927 </v>
      </c>
    </row>
    <row r="11" spans="1:13" ht="15.2" customHeight="1" x14ac:dyDescent="0.2">
      <c r="A11" s="6" t="s">
        <v>1167</v>
      </c>
      <c r="B11" s="7" t="s">
        <v>1168</v>
      </c>
      <c r="C11" s="8">
        <v>1</v>
      </c>
      <c r="D11" s="9">
        <v>24</v>
      </c>
      <c r="E11" s="9">
        <v>24</v>
      </c>
      <c r="F11" s="10">
        <v>69</v>
      </c>
      <c r="G11" s="9">
        <v>69</v>
      </c>
      <c r="H11" s="8" t="s">
        <v>4220</v>
      </c>
      <c r="I11" s="7" t="s">
        <v>3433</v>
      </c>
      <c r="J11" s="11" t="s">
        <v>3220</v>
      </c>
      <c r="K11" s="7" t="s">
        <v>3217</v>
      </c>
      <c r="L11" s="7" t="s">
        <v>3218</v>
      </c>
      <c r="M11" s="12" t="str">
        <f>HYPERLINK("http://slimages.macys.com/is/image/MCY/3827012 ")</f>
        <v xml:space="preserve">http://slimages.macys.com/is/image/MCY/3827012 </v>
      </c>
    </row>
    <row r="12" spans="1:13" ht="15.2" customHeight="1" x14ac:dyDescent="0.2">
      <c r="A12" s="6" t="s">
        <v>3078</v>
      </c>
      <c r="B12" s="7" t="s">
        <v>3079</v>
      </c>
      <c r="C12" s="8">
        <v>1</v>
      </c>
      <c r="D12" s="9">
        <v>22</v>
      </c>
      <c r="E12" s="9">
        <v>22</v>
      </c>
      <c r="F12" s="10">
        <v>69</v>
      </c>
      <c r="G12" s="9">
        <v>69</v>
      </c>
      <c r="H12" s="8" t="s">
        <v>2359</v>
      </c>
      <c r="I12" s="7" t="s">
        <v>3911</v>
      </c>
      <c r="J12" s="11" t="s">
        <v>3271</v>
      </c>
      <c r="K12" s="7" t="s">
        <v>3205</v>
      </c>
      <c r="L12" s="7" t="s">
        <v>3206</v>
      </c>
      <c r="M12" s="12" t="str">
        <f>HYPERLINK("http://slimages.macys.com/is/image/MCY/3937114 ")</f>
        <v xml:space="preserve">http://slimages.macys.com/is/image/MCY/3937114 </v>
      </c>
    </row>
    <row r="13" spans="1:13" ht="15.2" customHeight="1" x14ac:dyDescent="0.2">
      <c r="A13" s="6" t="s">
        <v>1169</v>
      </c>
      <c r="B13" s="7" t="s">
        <v>1170</v>
      </c>
      <c r="C13" s="8">
        <v>1</v>
      </c>
      <c r="D13" s="9">
        <v>21.75</v>
      </c>
      <c r="E13" s="9">
        <v>21.75</v>
      </c>
      <c r="F13" s="10">
        <v>69</v>
      </c>
      <c r="G13" s="9">
        <v>69</v>
      </c>
      <c r="H13" s="8" t="s">
        <v>1171</v>
      </c>
      <c r="I13" s="7" t="s">
        <v>3252</v>
      </c>
      <c r="J13" s="11" t="s">
        <v>3231</v>
      </c>
      <c r="K13" s="7" t="s">
        <v>3222</v>
      </c>
      <c r="L13" s="7" t="s">
        <v>3223</v>
      </c>
      <c r="M13" s="12" t="str">
        <f>HYPERLINK("http://slimages.macys.com/is/image/MCY/3452080 ")</f>
        <v xml:space="preserve">http://slimages.macys.com/is/image/MCY/3452080 </v>
      </c>
    </row>
    <row r="14" spans="1:13" ht="15.2" customHeight="1" x14ac:dyDescent="0.2">
      <c r="A14" s="6" t="s">
        <v>1172</v>
      </c>
      <c r="B14" s="7" t="s">
        <v>1173</v>
      </c>
      <c r="C14" s="8">
        <v>1</v>
      </c>
      <c r="D14" s="9">
        <v>21.66</v>
      </c>
      <c r="E14" s="9">
        <v>21.66</v>
      </c>
      <c r="F14" s="10">
        <v>59.5</v>
      </c>
      <c r="G14" s="9">
        <v>59.5</v>
      </c>
      <c r="H14" s="8" t="s">
        <v>1174</v>
      </c>
      <c r="I14" s="7" t="s">
        <v>3185</v>
      </c>
      <c r="J14" s="11" t="s">
        <v>3231</v>
      </c>
      <c r="K14" s="7" t="s">
        <v>3221</v>
      </c>
      <c r="L14" s="7" t="s">
        <v>3224</v>
      </c>
      <c r="M14" s="12" t="str">
        <f>HYPERLINK("http://slimages.macys.com/is/image/MCY/3681954 ")</f>
        <v xml:space="preserve">http://slimages.macys.com/is/image/MCY/3681954 </v>
      </c>
    </row>
    <row r="15" spans="1:13" ht="15.2" customHeight="1" x14ac:dyDescent="0.2">
      <c r="A15" s="6" t="s">
        <v>2508</v>
      </c>
      <c r="B15" s="7" t="s">
        <v>2509</v>
      </c>
      <c r="C15" s="8">
        <v>1</v>
      </c>
      <c r="D15" s="9">
        <v>21.55</v>
      </c>
      <c r="E15" s="9">
        <v>21.55</v>
      </c>
      <c r="F15" s="10">
        <v>52.5</v>
      </c>
      <c r="G15" s="9">
        <v>52.5</v>
      </c>
      <c r="H15" s="8" t="s">
        <v>4056</v>
      </c>
      <c r="I15" s="7" t="s">
        <v>3191</v>
      </c>
      <c r="J15" s="11" t="s">
        <v>3338</v>
      </c>
      <c r="K15" s="7" t="s">
        <v>3221</v>
      </c>
      <c r="L15" s="7" t="s">
        <v>3224</v>
      </c>
      <c r="M15" s="12" t="str">
        <f>HYPERLINK("http://slimages.macys.com/is/image/MCY/3626088 ")</f>
        <v xml:space="preserve">http://slimages.macys.com/is/image/MCY/3626088 </v>
      </c>
    </row>
    <row r="16" spans="1:13" ht="15.2" customHeight="1" x14ac:dyDescent="0.2">
      <c r="A16" s="6" t="s">
        <v>1175</v>
      </c>
      <c r="B16" s="7" t="s">
        <v>1176</v>
      </c>
      <c r="C16" s="8">
        <v>1</v>
      </c>
      <c r="D16" s="9">
        <v>21.48</v>
      </c>
      <c r="E16" s="9">
        <v>21.48</v>
      </c>
      <c r="F16" s="10">
        <v>59.99</v>
      </c>
      <c r="G16" s="9">
        <v>59.99</v>
      </c>
      <c r="H16" s="8" t="s">
        <v>1177</v>
      </c>
      <c r="I16" s="7" t="s">
        <v>3235</v>
      </c>
      <c r="J16" s="11" t="s">
        <v>3186</v>
      </c>
      <c r="K16" s="7" t="s">
        <v>3221</v>
      </c>
      <c r="L16" s="7" t="s">
        <v>3253</v>
      </c>
      <c r="M16" s="12" t="str">
        <f>HYPERLINK("http://slimages.macys.com/is/image/MCY/2915075 ")</f>
        <v xml:space="preserve">http://slimages.macys.com/is/image/MCY/2915075 </v>
      </c>
    </row>
    <row r="17" spans="1:13" ht="15.2" customHeight="1" x14ac:dyDescent="0.2">
      <c r="A17" s="6" t="s">
        <v>1178</v>
      </c>
      <c r="B17" s="7" t="s">
        <v>1179</v>
      </c>
      <c r="C17" s="8">
        <v>1</v>
      </c>
      <c r="D17" s="9">
        <v>21.24</v>
      </c>
      <c r="E17" s="9">
        <v>21.24</v>
      </c>
      <c r="F17" s="10">
        <v>59.5</v>
      </c>
      <c r="G17" s="9">
        <v>59.5</v>
      </c>
      <c r="H17" s="8" t="s">
        <v>2198</v>
      </c>
      <c r="I17" s="7"/>
      <c r="J17" s="11" t="s">
        <v>3186</v>
      </c>
      <c r="K17" s="7" t="s">
        <v>3232</v>
      </c>
      <c r="L17" s="7" t="s">
        <v>3233</v>
      </c>
      <c r="M17" s="12" t="str">
        <f>HYPERLINK("http://slimages.macys.com/is/image/MCY/3913152 ")</f>
        <v xml:space="preserve">http://slimages.macys.com/is/image/MCY/3913152 </v>
      </c>
    </row>
    <row r="18" spans="1:13" ht="15.2" customHeight="1" x14ac:dyDescent="0.2">
      <c r="A18" s="6" t="s">
        <v>1180</v>
      </c>
      <c r="B18" s="7" t="s">
        <v>1181</v>
      </c>
      <c r="C18" s="8">
        <v>1</v>
      </c>
      <c r="D18" s="9">
        <v>21.14</v>
      </c>
      <c r="E18" s="9">
        <v>21.14</v>
      </c>
      <c r="F18" s="10">
        <v>59.5</v>
      </c>
      <c r="G18" s="9">
        <v>59.5</v>
      </c>
      <c r="H18" s="8" t="s">
        <v>3227</v>
      </c>
      <c r="I18" s="7" t="s">
        <v>3228</v>
      </c>
      <c r="J18" s="11" t="s">
        <v>3213</v>
      </c>
      <c r="K18" s="7" t="s">
        <v>3193</v>
      </c>
      <c r="L18" s="7" t="s">
        <v>3194</v>
      </c>
      <c r="M18" s="12" t="str">
        <f>HYPERLINK("http://slimages.macys.com/is/image/MCY/3922311 ")</f>
        <v xml:space="preserve">http://slimages.macys.com/is/image/MCY/3922311 </v>
      </c>
    </row>
    <row r="19" spans="1:13" ht="15.2" customHeight="1" x14ac:dyDescent="0.2">
      <c r="A19" s="6" t="s">
        <v>4223</v>
      </c>
      <c r="B19" s="7" t="s">
        <v>4224</v>
      </c>
      <c r="C19" s="8">
        <v>1</v>
      </c>
      <c r="D19" s="9">
        <v>20.85</v>
      </c>
      <c r="E19" s="9">
        <v>20.85</v>
      </c>
      <c r="F19" s="10">
        <v>69.5</v>
      </c>
      <c r="G19" s="9">
        <v>69.5</v>
      </c>
      <c r="H19" s="8">
        <v>49022899</v>
      </c>
      <c r="I19" s="7"/>
      <c r="J19" s="11" t="s">
        <v>3231</v>
      </c>
      <c r="K19" s="7" t="s">
        <v>3187</v>
      </c>
      <c r="L19" s="7" t="s">
        <v>3188</v>
      </c>
      <c r="M19" s="12" t="str">
        <f>HYPERLINK("http://slimages.macys.com/is/image/MCY/3939789 ")</f>
        <v xml:space="preserve">http://slimages.macys.com/is/image/MCY/3939789 </v>
      </c>
    </row>
    <row r="20" spans="1:13" ht="15.2" customHeight="1" x14ac:dyDescent="0.2">
      <c r="A20" s="6" t="s">
        <v>2360</v>
      </c>
      <c r="B20" s="7" t="s">
        <v>2361</v>
      </c>
      <c r="C20" s="8">
        <v>1</v>
      </c>
      <c r="D20" s="9">
        <v>20.65</v>
      </c>
      <c r="E20" s="9">
        <v>20.65</v>
      </c>
      <c r="F20" s="10">
        <v>59</v>
      </c>
      <c r="G20" s="9">
        <v>59</v>
      </c>
      <c r="H20" s="8" t="s">
        <v>2362</v>
      </c>
      <c r="I20" s="7" t="s">
        <v>3252</v>
      </c>
      <c r="J20" s="11" t="s">
        <v>3310</v>
      </c>
      <c r="K20" s="7" t="s">
        <v>3217</v>
      </c>
      <c r="L20" s="7" t="s">
        <v>3218</v>
      </c>
      <c r="M20" s="12" t="str">
        <f>HYPERLINK("http://slimages.macys.com/is/image/MCY/3820587 ")</f>
        <v xml:space="preserve">http://slimages.macys.com/is/image/MCY/3820587 </v>
      </c>
    </row>
    <row r="21" spans="1:13" ht="15.2" customHeight="1" x14ac:dyDescent="0.2">
      <c r="A21" s="6" t="s">
        <v>1182</v>
      </c>
      <c r="B21" s="7" t="s">
        <v>1183</v>
      </c>
      <c r="C21" s="8">
        <v>1</v>
      </c>
      <c r="D21" s="9">
        <v>20.53</v>
      </c>
      <c r="E21" s="9">
        <v>20.53</v>
      </c>
      <c r="F21" s="10">
        <v>59.5</v>
      </c>
      <c r="G21" s="9">
        <v>59.5</v>
      </c>
      <c r="H21" s="8" t="s">
        <v>1145</v>
      </c>
      <c r="I21" s="7" t="s">
        <v>3333</v>
      </c>
      <c r="J21" s="11" t="s">
        <v>3186</v>
      </c>
      <c r="K21" s="7" t="s">
        <v>3232</v>
      </c>
      <c r="L21" s="7" t="s">
        <v>3233</v>
      </c>
      <c r="M21" s="12" t="str">
        <f>HYPERLINK("http://slimages.macys.com/is/image/MCY/3913120 ")</f>
        <v xml:space="preserve">http://slimages.macys.com/is/image/MCY/3913120 </v>
      </c>
    </row>
    <row r="22" spans="1:13" ht="15.2" customHeight="1" x14ac:dyDescent="0.2">
      <c r="A22" s="6" t="s">
        <v>1184</v>
      </c>
      <c r="B22" s="7" t="s">
        <v>1185</v>
      </c>
      <c r="C22" s="8">
        <v>1</v>
      </c>
      <c r="D22" s="9">
        <v>19.5</v>
      </c>
      <c r="E22" s="9">
        <v>19.5</v>
      </c>
      <c r="F22" s="10">
        <v>39.979999999999997</v>
      </c>
      <c r="G22" s="9">
        <v>39.979999999999997</v>
      </c>
      <c r="H22" s="8" t="s">
        <v>1895</v>
      </c>
      <c r="I22" s="7" t="s">
        <v>3252</v>
      </c>
      <c r="J22" s="11"/>
      <c r="K22" s="7" t="s">
        <v>3217</v>
      </c>
      <c r="L22" s="7" t="s">
        <v>3218</v>
      </c>
      <c r="M22" s="12" t="str">
        <f>HYPERLINK("http://slimages.macys.com/is/image/MCY/2058387 ")</f>
        <v xml:space="preserve">http://slimages.macys.com/is/image/MCY/2058387 </v>
      </c>
    </row>
    <row r="23" spans="1:13" ht="15.2" customHeight="1" x14ac:dyDescent="0.2">
      <c r="A23" s="6" t="s">
        <v>1893</v>
      </c>
      <c r="B23" s="7" t="s">
        <v>1894</v>
      </c>
      <c r="C23" s="8">
        <v>1</v>
      </c>
      <c r="D23" s="9">
        <v>19.5</v>
      </c>
      <c r="E23" s="9">
        <v>19.5</v>
      </c>
      <c r="F23" s="10">
        <v>59</v>
      </c>
      <c r="G23" s="9">
        <v>59</v>
      </c>
      <c r="H23" s="8" t="s">
        <v>2523</v>
      </c>
      <c r="I23" s="7" t="s">
        <v>3185</v>
      </c>
      <c r="J23" s="11" t="s">
        <v>3331</v>
      </c>
      <c r="K23" s="7" t="s">
        <v>3205</v>
      </c>
      <c r="L23" s="7" t="s">
        <v>3632</v>
      </c>
      <c r="M23" s="12" t="str">
        <f>HYPERLINK("http://slimages.macys.com/is/image/MCY/3459665 ")</f>
        <v xml:space="preserve">http://slimages.macys.com/is/image/MCY/3459665 </v>
      </c>
    </row>
    <row r="24" spans="1:13" ht="15.2" customHeight="1" x14ac:dyDescent="0.2">
      <c r="A24" s="6" t="s">
        <v>1984</v>
      </c>
      <c r="B24" s="7" t="s">
        <v>1985</v>
      </c>
      <c r="C24" s="8">
        <v>1</v>
      </c>
      <c r="D24" s="9">
        <v>18.91</v>
      </c>
      <c r="E24" s="9">
        <v>18.91</v>
      </c>
      <c r="F24" s="10">
        <v>59.5</v>
      </c>
      <c r="G24" s="9">
        <v>59.5</v>
      </c>
      <c r="H24" s="8" t="s">
        <v>1986</v>
      </c>
      <c r="I24" s="7" t="s">
        <v>3207</v>
      </c>
      <c r="J24" s="11" t="s">
        <v>3220</v>
      </c>
      <c r="K24" s="7" t="s">
        <v>3232</v>
      </c>
      <c r="L24" s="7" t="s">
        <v>3233</v>
      </c>
      <c r="M24" s="12" t="str">
        <f>HYPERLINK("http://slimages.macys.com/is/image/MCY/3010471 ")</f>
        <v xml:space="preserve">http://slimages.macys.com/is/image/MCY/3010471 </v>
      </c>
    </row>
    <row r="25" spans="1:13" ht="15.2" customHeight="1" x14ac:dyDescent="0.2">
      <c r="A25" s="6" t="s">
        <v>3657</v>
      </c>
      <c r="B25" s="7" t="s">
        <v>3658</v>
      </c>
      <c r="C25" s="8">
        <v>1</v>
      </c>
      <c r="D25" s="9">
        <v>18.75</v>
      </c>
      <c r="E25" s="9">
        <v>18.75</v>
      </c>
      <c r="F25" s="10">
        <v>59</v>
      </c>
      <c r="G25" s="9">
        <v>59</v>
      </c>
      <c r="H25" s="8" t="s">
        <v>3659</v>
      </c>
      <c r="I25" s="7" t="s">
        <v>3191</v>
      </c>
      <c r="J25" s="11" t="s">
        <v>3220</v>
      </c>
      <c r="K25" s="7" t="s">
        <v>3217</v>
      </c>
      <c r="L25" s="7" t="s">
        <v>3218</v>
      </c>
      <c r="M25" s="12" t="str">
        <f>HYPERLINK("http://slimages.macys.com/is/image/MCY/3563213 ")</f>
        <v xml:space="preserve">http://slimages.macys.com/is/image/MCY/3563213 </v>
      </c>
    </row>
    <row r="26" spans="1:13" ht="15.2" customHeight="1" x14ac:dyDescent="0.2">
      <c r="A26" s="6" t="s">
        <v>1186</v>
      </c>
      <c r="B26" s="7" t="s">
        <v>1187</v>
      </c>
      <c r="C26" s="8">
        <v>1</v>
      </c>
      <c r="D26" s="9">
        <v>18.75</v>
      </c>
      <c r="E26" s="9">
        <v>18.75</v>
      </c>
      <c r="F26" s="10">
        <v>59</v>
      </c>
      <c r="G26" s="9">
        <v>59</v>
      </c>
      <c r="H26" s="8" t="s">
        <v>3849</v>
      </c>
      <c r="I26" s="7" t="s">
        <v>3252</v>
      </c>
      <c r="J26" s="11"/>
      <c r="K26" s="7" t="s">
        <v>3217</v>
      </c>
      <c r="L26" s="7" t="s">
        <v>3218</v>
      </c>
      <c r="M26" s="12" t="str">
        <f>HYPERLINK("http://slimages.macys.com/is/image/MCY/3626354 ")</f>
        <v xml:space="preserve">http://slimages.macys.com/is/image/MCY/3626354 </v>
      </c>
    </row>
    <row r="27" spans="1:13" ht="15.2" customHeight="1" x14ac:dyDescent="0.2">
      <c r="A27" s="6" t="s">
        <v>1188</v>
      </c>
      <c r="B27" s="7" t="s">
        <v>1189</v>
      </c>
      <c r="C27" s="8">
        <v>1</v>
      </c>
      <c r="D27" s="9">
        <v>18.5</v>
      </c>
      <c r="E27" s="9">
        <v>18.5</v>
      </c>
      <c r="F27" s="10">
        <v>41.99</v>
      </c>
      <c r="G27" s="9">
        <v>41.99</v>
      </c>
      <c r="H27" s="8" t="s">
        <v>4226</v>
      </c>
      <c r="I27" s="7" t="s">
        <v>3234</v>
      </c>
      <c r="J27" s="11" t="s">
        <v>3204</v>
      </c>
      <c r="K27" s="7" t="s">
        <v>3241</v>
      </c>
      <c r="L27" s="7" t="s">
        <v>3206</v>
      </c>
      <c r="M27" s="12" t="str">
        <f>HYPERLINK("http://slimages.macys.com/is/image/MCY/3121393 ")</f>
        <v xml:space="preserve">http://slimages.macys.com/is/image/MCY/3121393 </v>
      </c>
    </row>
    <row r="28" spans="1:13" ht="15.2" customHeight="1" x14ac:dyDescent="0.2">
      <c r="A28" s="6" t="s">
        <v>3853</v>
      </c>
      <c r="B28" s="7" t="s">
        <v>3854</v>
      </c>
      <c r="C28" s="8">
        <v>2</v>
      </c>
      <c r="D28" s="9">
        <v>18.23</v>
      </c>
      <c r="E28" s="9">
        <v>36.46</v>
      </c>
      <c r="F28" s="10">
        <v>49.99</v>
      </c>
      <c r="G28" s="9">
        <v>99.98</v>
      </c>
      <c r="H28" s="8" t="s">
        <v>3249</v>
      </c>
      <c r="I28" s="7" t="s">
        <v>3201</v>
      </c>
      <c r="J28" s="11" t="s">
        <v>3186</v>
      </c>
      <c r="K28" s="7" t="s">
        <v>3221</v>
      </c>
      <c r="L28" s="7" t="s">
        <v>3250</v>
      </c>
      <c r="M28" s="12" t="str">
        <f>HYPERLINK("http://slimages.macys.com/is/image/MCY/3954963 ")</f>
        <v xml:space="preserve">http://slimages.macys.com/is/image/MCY/3954963 </v>
      </c>
    </row>
    <row r="29" spans="1:13" ht="15.2" customHeight="1" x14ac:dyDescent="0.2">
      <c r="A29" s="6" t="s">
        <v>2209</v>
      </c>
      <c r="B29" s="7" t="s">
        <v>2210</v>
      </c>
      <c r="C29" s="8">
        <v>1</v>
      </c>
      <c r="D29" s="9">
        <v>18.23</v>
      </c>
      <c r="E29" s="9">
        <v>18.23</v>
      </c>
      <c r="F29" s="10">
        <v>49.99</v>
      </c>
      <c r="G29" s="9">
        <v>49.99</v>
      </c>
      <c r="H29" s="8" t="s">
        <v>3249</v>
      </c>
      <c r="I29" s="7" t="s">
        <v>3201</v>
      </c>
      <c r="J29" s="11" t="s">
        <v>3236</v>
      </c>
      <c r="K29" s="7" t="s">
        <v>3221</v>
      </c>
      <c r="L29" s="7" t="s">
        <v>3250</v>
      </c>
      <c r="M29" s="12" t="str">
        <f>HYPERLINK("http://slimages.macys.com/is/image/MCY/3954963 ")</f>
        <v xml:space="preserve">http://slimages.macys.com/is/image/MCY/3954963 </v>
      </c>
    </row>
    <row r="30" spans="1:13" ht="15.2" customHeight="1" x14ac:dyDescent="0.2">
      <c r="A30" s="6" t="s">
        <v>3851</v>
      </c>
      <c r="B30" s="7" t="s">
        <v>3852</v>
      </c>
      <c r="C30" s="8">
        <v>1</v>
      </c>
      <c r="D30" s="9">
        <v>18.23</v>
      </c>
      <c r="E30" s="9">
        <v>18.23</v>
      </c>
      <c r="F30" s="10">
        <v>49.99</v>
      </c>
      <c r="G30" s="9">
        <v>49.99</v>
      </c>
      <c r="H30" s="8" t="s">
        <v>3249</v>
      </c>
      <c r="I30" s="7" t="s">
        <v>3201</v>
      </c>
      <c r="J30" s="11" t="s">
        <v>3220</v>
      </c>
      <c r="K30" s="7" t="s">
        <v>3221</v>
      </c>
      <c r="L30" s="7" t="s">
        <v>3250</v>
      </c>
      <c r="M30" s="12" t="str">
        <f>HYPERLINK("http://slimages.macys.com/is/image/MCY/3954963 ")</f>
        <v xml:space="preserve">http://slimages.macys.com/is/image/MCY/3954963 </v>
      </c>
    </row>
    <row r="31" spans="1:13" ht="15.2" customHeight="1" x14ac:dyDescent="0.2">
      <c r="A31" s="6" t="s">
        <v>1190</v>
      </c>
      <c r="B31" s="7" t="s">
        <v>1191</v>
      </c>
      <c r="C31" s="8">
        <v>1</v>
      </c>
      <c r="D31" s="9">
        <v>18.07</v>
      </c>
      <c r="E31" s="9">
        <v>18.07</v>
      </c>
      <c r="F31" s="10">
        <v>49.5</v>
      </c>
      <c r="G31" s="9">
        <v>49.5</v>
      </c>
      <c r="H31" s="8" t="s">
        <v>3255</v>
      </c>
      <c r="I31" s="7" t="s">
        <v>3252</v>
      </c>
      <c r="J31" s="11" t="s">
        <v>3231</v>
      </c>
      <c r="K31" s="7" t="s">
        <v>3221</v>
      </c>
      <c r="L31" s="7" t="s">
        <v>3224</v>
      </c>
      <c r="M31" s="12" t="str">
        <f>HYPERLINK("http://slimages.macys.com/is/image/MCY/3802096 ")</f>
        <v xml:space="preserve">http://slimages.macys.com/is/image/MCY/3802096 </v>
      </c>
    </row>
    <row r="32" spans="1:13" ht="15.2" customHeight="1" x14ac:dyDescent="0.2">
      <c r="A32" s="6" t="s">
        <v>4227</v>
      </c>
      <c r="B32" s="7" t="s">
        <v>4228</v>
      </c>
      <c r="C32" s="8">
        <v>1</v>
      </c>
      <c r="D32" s="9">
        <v>18.07</v>
      </c>
      <c r="E32" s="9">
        <v>18.07</v>
      </c>
      <c r="F32" s="10">
        <v>49.5</v>
      </c>
      <c r="G32" s="9">
        <v>49.5</v>
      </c>
      <c r="H32" s="8" t="s">
        <v>4229</v>
      </c>
      <c r="I32" s="7" t="s">
        <v>3228</v>
      </c>
      <c r="J32" s="11" t="s">
        <v>3231</v>
      </c>
      <c r="K32" s="7" t="s">
        <v>3221</v>
      </c>
      <c r="L32" s="7" t="s">
        <v>3254</v>
      </c>
      <c r="M32" s="12" t="str">
        <f>HYPERLINK("http://slimages.macys.com/is/image/MCY/3802084 ")</f>
        <v xml:space="preserve">http://slimages.macys.com/is/image/MCY/3802084 </v>
      </c>
    </row>
    <row r="33" spans="1:13" ht="15.2" customHeight="1" x14ac:dyDescent="0.2">
      <c r="A33" s="6" t="s">
        <v>3856</v>
      </c>
      <c r="B33" s="7" t="s">
        <v>3857</v>
      </c>
      <c r="C33" s="8">
        <v>2</v>
      </c>
      <c r="D33" s="9">
        <v>18.059999999999999</v>
      </c>
      <c r="E33" s="9">
        <v>36.119999999999997</v>
      </c>
      <c r="F33" s="10">
        <v>49.5</v>
      </c>
      <c r="G33" s="9">
        <v>99</v>
      </c>
      <c r="H33" s="8" t="s">
        <v>3256</v>
      </c>
      <c r="I33" s="7" t="s">
        <v>3257</v>
      </c>
      <c r="J33" s="11" t="s">
        <v>3242</v>
      </c>
      <c r="K33" s="7" t="s">
        <v>3221</v>
      </c>
      <c r="L33" s="7" t="s">
        <v>3224</v>
      </c>
      <c r="M33" s="12" t="str">
        <f>HYPERLINK("http://slimages.macys.com/is/image/MCY/3954975 ")</f>
        <v xml:space="preserve">http://slimages.macys.com/is/image/MCY/3954975 </v>
      </c>
    </row>
    <row r="34" spans="1:13" ht="15.2" customHeight="1" x14ac:dyDescent="0.2">
      <c r="A34" s="6" t="s">
        <v>1707</v>
      </c>
      <c r="B34" s="7" t="s">
        <v>1708</v>
      </c>
      <c r="C34" s="8">
        <v>1</v>
      </c>
      <c r="D34" s="9">
        <v>18.059999999999999</v>
      </c>
      <c r="E34" s="9">
        <v>18.059999999999999</v>
      </c>
      <c r="F34" s="10">
        <v>49.5</v>
      </c>
      <c r="G34" s="9">
        <v>49.5</v>
      </c>
      <c r="H34" s="8" t="s">
        <v>3256</v>
      </c>
      <c r="I34" s="7" t="s">
        <v>3257</v>
      </c>
      <c r="J34" s="11" t="s">
        <v>3236</v>
      </c>
      <c r="K34" s="7" t="s">
        <v>3221</v>
      </c>
      <c r="L34" s="7" t="s">
        <v>3224</v>
      </c>
      <c r="M34" s="12" t="str">
        <f>HYPERLINK("http://slimages.macys.com/is/image/MCY/3954975 ")</f>
        <v xml:space="preserve">http://slimages.macys.com/is/image/MCY/3954975 </v>
      </c>
    </row>
    <row r="35" spans="1:13" ht="15.2" customHeight="1" x14ac:dyDescent="0.2">
      <c r="A35" s="6" t="s">
        <v>1192</v>
      </c>
      <c r="B35" s="7" t="s">
        <v>1193</v>
      </c>
      <c r="C35" s="8">
        <v>1</v>
      </c>
      <c r="D35" s="9">
        <v>18</v>
      </c>
      <c r="E35" s="9">
        <v>18</v>
      </c>
      <c r="F35" s="10">
        <v>59</v>
      </c>
      <c r="G35" s="9">
        <v>59</v>
      </c>
      <c r="H35" s="8" t="s">
        <v>3260</v>
      </c>
      <c r="I35" s="7" t="s">
        <v>3185</v>
      </c>
      <c r="J35" s="11" t="s">
        <v>3186</v>
      </c>
      <c r="K35" s="7" t="s">
        <v>3205</v>
      </c>
      <c r="L35" s="7" t="s">
        <v>3261</v>
      </c>
      <c r="M35" s="12" t="str">
        <f>HYPERLINK("http://slimages.macys.com/is/image/MCY/3912998 ")</f>
        <v xml:space="preserve">http://slimages.macys.com/is/image/MCY/3912998 </v>
      </c>
    </row>
    <row r="36" spans="1:13" ht="15.2" customHeight="1" x14ac:dyDescent="0.2">
      <c r="A36" s="6" t="s">
        <v>1194</v>
      </c>
      <c r="B36" s="7" t="s">
        <v>1195</v>
      </c>
      <c r="C36" s="8">
        <v>1</v>
      </c>
      <c r="D36" s="9">
        <v>17.850000000000001</v>
      </c>
      <c r="E36" s="9">
        <v>17.850000000000001</v>
      </c>
      <c r="F36" s="10">
        <v>59.5</v>
      </c>
      <c r="G36" s="9">
        <v>59.5</v>
      </c>
      <c r="H36" s="8">
        <v>49022900</v>
      </c>
      <c r="I36" s="7" t="s">
        <v>3185</v>
      </c>
      <c r="J36" s="11" t="s">
        <v>3202</v>
      </c>
      <c r="K36" s="7" t="s">
        <v>3187</v>
      </c>
      <c r="L36" s="7" t="s">
        <v>3188</v>
      </c>
      <c r="M36" s="12" t="str">
        <f>HYPERLINK("http://slimages.macys.com/is/image/MCY/3939787 ")</f>
        <v xml:space="preserve">http://slimages.macys.com/is/image/MCY/3939787 </v>
      </c>
    </row>
    <row r="37" spans="1:13" ht="15.2" customHeight="1" x14ac:dyDescent="0.2">
      <c r="A37" s="6" t="s">
        <v>1196</v>
      </c>
      <c r="B37" s="7" t="s">
        <v>1197</v>
      </c>
      <c r="C37" s="8">
        <v>1</v>
      </c>
      <c r="D37" s="9">
        <v>17.850000000000001</v>
      </c>
      <c r="E37" s="9">
        <v>17.850000000000001</v>
      </c>
      <c r="F37" s="10">
        <v>59.5</v>
      </c>
      <c r="G37" s="9">
        <v>59.5</v>
      </c>
      <c r="H37" s="8">
        <v>49022900</v>
      </c>
      <c r="I37" s="7" t="s">
        <v>3355</v>
      </c>
      <c r="J37" s="11" t="s">
        <v>3242</v>
      </c>
      <c r="K37" s="7" t="s">
        <v>3187</v>
      </c>
      <c r="L37" s="7" t="s">
        <v>3188</v>
      </c>
      <c r="M37" s="12" t="str">
        <f>HYPERLINK("http://slimages.macys.com/is/image/MCY/3939787 ")</f>
        <v xml:space="preserve">http://slimages.macys.com/is/image/MCY/3939787 </v>
      </c>
    </row>
    <row r="38" spans="1:13" ht="15.2" customHeight="1" x14ac:dyDescent="0.2">
      <c r="A38" s="6" t="s">
        <v>1788</v>
      </c>
      <c r="B38" s="7" t="s">
        <v>1789</v>
      </c>
      <c r="C38" s="8">
        <v>1</v>
      </c>
      <c r="D38" s="9">
        <v>17.25</v>
      </c>
      <c r="E38" s="9">
        <v>17.25</v>
      </c>
      <c r="F38" s="10">
        <v>49</v>
      </c>
      <c r="G38" s="9">
        <v>49</v>
      </c>
      <c r="H38" s="8" t="s">
        <v>2366</v>
      </c>
      <c r="I38" s="7" t="s">
        <v>3185</v>
      </c>
      <c r="J38" s="11" t="s">
        <v>3186</v>
      </c>
      <c r="K38" s="7" t="s">
        <v>3217</v>
      </c>
      <c r="L38" s="7" t="s">
        <v>3218</v>
      </c>
      <c r="M38" s="12" t="str">
        <f>HYPERLINK("http://slimages.macys.com/is/image/MCY/3801775 ")</f>
        <v xml:space="preserve">http://slimages.macys.com/is/image/MCY/3801775 </v>
      </c>
    </row>
    <row r="39" spans="1:13" ht="15.2" customHeight="1" x14ac:dyDescent="0.2">
      <c r="A39" s="6" t="s">
        <v>1198</v>
      </c>
      <c r="B39" s="7" t="s">
        <v>0</v>
      </c>
      <c r="C39" s="8">
        <v>1</v>
      </c>
      <c r="D39" s="9">
        <v>17</v>
      </c>
      <c r="E39" s="9">
        <v>17</v>
      </c>
      <c r="F39" s="10">
        <v>39.99</v>
      </c>
      <c r="G39" s="9">
        <v>39.99</v>
      </c>
      <c r="H39" s="8" t="s">
        <v>1</v>
      </c>
      <c r="I39" s="7" t="s">
        <v>3234</v>
      </c>
      <c r="J39" s="11" t="s">
        <v>3236</v>
      </c>
      <c r="K39" s="7" t="s">
        <v>3241</v>
      </c>
      <c r="L39" s="7" t="s">
        <v>3776</v>
      </c>
      <c r="M39" s="12" t="str">
        <f>HYPERLINK("http://slimages.macys.com/is/image/MCY/3918108 ")</f>
        <v xml:space="preserve">http://slimages.macys.com/is/image/MCY/3918108 </v>
      </c>
    </row>
    <row r="40" spans="1:13" ht="15.2" customHeight="1" x14ac:dyDescent="0.2">
      <c r="A40" s="6" t="s">
        <v>2</v>
      </c>
      <c r="B40" s="7" t="s">
        <v>3</v>
      </c>
      <c r="C40" s="8">
        <v>2</v>
      </c>
      <c r="D40" s="9">
        <v>16.239999999999998</v>
      </c>
      <c r="E40" s="9">
        <v>32.479999999999997</v>
      </c>
      <c r="F40" s="10">
        <v>44.5</v>
      </c>
      <c r="G40" s="9">
        <v>89</v>
      </c>
      <c r="H40" s="8" t="s">
        <v>2222</v>
      </c>
      <c r="I40" s="7" t="s">
        <v>3185</v>
      </c>
      <c r="J40" s="11" t="s">
        <v>3220</v>
      </c>
      <c r="K40" s="7" t="s">
        <v>3232</v>
      </c>
      <c r="L40" s="7" t="s">
        <v>3308</v>
      </c>
      <c r="M40" s="12" t="str">
        <f>HYPERLINK("http://slimages.macys.com/is/image/MCY/3954897 ")</f>
        <v xml:space="preserve">http://slimages.macys.com/is/image/MCY/3954897 </v>
      </c>
    </row>
    <row r="41" spans="1:13" ht="15.2" customHeight="1" x14ac:dyDescent="0.2">
      <c r="A41" s="6" t="s">
        <v>4</v>
      </c>
      <c r="B41" s="7" t="s">
        <v>5</v>
      </c>
      <c r="C41" s="8">
        <v>1</v>
      </c>
      <c r="D41" s="9">
        <v>16.239999999999998</v>
      </c>
      <c r="E41" s="9">
        <v>16.239999999999998</v>
      </c>
      <c r="F41" s="10">
        <v>44.5</v>
      </c>
      <c r="G41" s="9">
        <v>44.5</v>
      </c>
      <c r="H41" s="8" t="s">
        <v>3666</v>
      </c>
      <c r="I41" s="7" t="s">
        <v>3203</v>
      </c>
      <c r="J41" s="11" t="s">
        <v>3220</v>
      </c>
      <c r="K41" s="7" t="s">
        <v>3221</v>
      </c>
      <c r="L41" s="7" t="s">
        <v>3254</v>
      </c>
      <c r="M41" s="12" t="str">
        <f>HYPERLINK("http://slimages.macys.com/is/image/MCY/3774436 ")</f>
        <v xml:space="preserve">http://slimages.macys.com/is/image/MCY/3774436 </v>
      </c>
    </row>
    <row r="42" spans="1:13" ht="15.2" customHeight="1" x14ac:dyDescent="0.2">
      <c r="A42" s="6" t="s">
        <v>6</v>
      </c>
      <c r="B42" s="7" t="s">
        <v>7</v>
      </c>
      <c r="C42" s="8">
        <v>1</v>
      </c>
      <c r="D42" s="9">
        <v>16.239999999999998</v>
      </c>
      <c r="E42" s="9">
        <v>16.239999999999998</v>
      </c>
      <c r="F42" s="10">
        <v>44.5</v>
      </c>
      <c r="G42" s="9">
        <v>44.5</v>
      </c>
      <c r="H42" s="8" t="s">
        <v>8</v>
      </c>
      <c r="I42" s="7" t="s">
        <v>3185</v>
      </c>
      <c r="J42" s="11" t="s">
        <v>3202</v>
      </c>
      <c r="K42" s="7" t="s">
        <v>3232</v>
      </c>
      <c r="L42" s="7" t="s">
        <v>3233</v>
      </c>
      <c r="M42" s="12" t="str">
        <f>HYPERLINK("http://slimages.macys.com/is/image/MCY/3745627 ")</f>
        <v xml:space="preserve">http://slimages.macys.com/is/image/MCY/3745627 </v>
      </c>
    </row>
    <row r="43" spans="1:13" ht="15.2" customHeight="1" x14ac:dyDescent="0.2">
      <c r="A43" s="6" t="s">
        <v>1709</v>
      </c>
      <c r="B43" s="7" t="s">
        <v>1710</v>
      </c>
      <c r="C43" s="8">
        <v>1</v>
      </c>
      <c r="D43" s="9">
        <v>16.239999999999998</v>
      </c>
      <c r="E43" s="9">
        <v>16.239999999999998</v>
      </c>
      <c r="F43" s="10">
        <v>44.5</v>
      </c>
      <c r="G43" s="9">
        <v>44.5</v>
      </c>
      <c r="H43" s="8" t="s">
        <v>2222</v>
      </c>
      <c r="I43" s="7" t="s">
        <v>3185</v>
      </c>
      <c r="J43" s="11" t="s">
        <v>3231</v>
      </c>
      <c r="K43" s="7" t="s">
        <v>3232</v>
      </c>
      <c r="L43" s="7" t="s">
        <v>3308</v>
      </c>
      <c r="M43" s="12" t="str">
        <f>HYPERLINK("http://slimages.macys.com/is/image/MCY/3954897 ")</f>
        <v xml:space="preserve">http://slimages.macys.com/is/image/MCY/3954897 </v>
      </c>
    </row>
    <row r="44" spans="1:13" ht="15.2" customHeight="1" x14ac:dyDescent="0.2">
      <c r="A44" s="6" t="s">
        <v>3664</v>
      </c>
      <c r="B44" s="7" t="s">
        <v>3665</v>
      </c>
      <c r="C44" s="8">
        <v>2</v>
      </c>
      <c r="D44" s="9">
        <v>16.239999999999998</v>
      </c>
      <c r="E44" s="9">
        <v>32.479999999999997</v>
      </c>
      <c r="F44" s="10">
        <v>44.5</v>
      </c>
      <c r="G44" s="9">
        <v>89</v>
      </c>
      <c r="H44" s="8" t="s">
        <v>3666</v>
      </c>
      <c r="I44" s="7" t="s">
        <v>3203</v>
      </c>
      <c r="J44" s="11" t="s">
        <v>3186</v>
      </c>
      <c r="K44" s="7" t="s">
        <v>3221</v>
      </c>
      <c r="L44" s="7" t="s">
        <v>3254</v>
      </c>
      <c r="M44" s="12" t="str">
        <f>HYPERLINK("http://slimages.macys.com/is/image/MCY/3774436 ")</f>
        <v xml:space="preserve">http://slimages.macys.com/is/image/MCY/3774436 </v>
      </c>
    </row>
    <row r="45" spans="1:13" ht="15.2" customHeight="1" x14ac:dyDescent="0.2">
      <c r="A45" s="6" t="s">
        <v>4233</v>
      </c>
      <c r="B45" s="7" t="s">
        <v>4234</v>
      </c>
      <c r="C45" s="8">
        <v>3</v>
      </c>
      <c r="D45" s="9">
        <v>16.239999999999998</v>
      </c>
      <c r="E45" s="9">
        <v>48.72</v>
      </c>
      <c r="F45" s="10">
        <v>44.5</v>
      </c>
      <c r="G45" s="9">
        <v>133.5</v>
      </c>
      <c r="H45" s="8" t="s">
        <v>3666</v>
      </c>
      <c r="I45" s="7" t="s">
        <v>3203</v>
      </c>
      <c r="J45" s="11" t="s">
        <v>3202</v>
      </c>
      <c r="K45" s="7" t="s">
        <v>3221</v>
      </c>
      <c r="L45" s="7" t="s">
        <v>3254</v>
      </c>
      <c r="M45" s="12" t="str">
        <f>HYPERLINK("http://slimages.macys.com/is/image/MCY/3774436 ")</f>
        <v xml:space="preserve">http://slimages.macys.com/is/image/MCY/3774436 </v>
      </c>
    </row>
    <row r="46" spans="1:13" ht="15.2" customHeight="1" x14ac:dyDescent="0.2">
      <c r="A46" s="6" t="s">
        <v>2220</v>
      </c>
      <c r="B46" s="7" t="s">
        <v>2221</v>
      </c>
      <c r="C46" s="8">
        <v>2</v>
      </c>
      <c r="D46" s="9">
        <v>16.239999999999998</v>
      </c>
      <c r="E46" s="9">
        <v>32.479999999999997</v>
      </c>
      <c r="F46" s="10">
        <v>44.5</v>
      </c>
      <c r="G46" s="9">
        <v>89</v>
      </c>
      <c r="H46" s="8" t="s">
        <v>2222</v>
      </c>
      <c r="I46" s="7" t="s">
        <v>3185</v>
      </c>
      <c r="J46" s="11" t="s">
        <v>3186</v>
      </c>
      <c r="K46" s="7" t="s">
        <v>3232</v>
      </c>
      <c r="L46" s="7" t="s">
        <v>3308</v>
      </c>
      <c r="M46" s="12" t="str">
        <f>HYPERLINK("http://slimages.macys.com/is/image/MCY/3954897 ")</f>
        <v xml:space="preserve">http://slimages.macys.com/is/image/MCY/3954897 </v>
      </c>
    </row>
    <row r="47" spans="1:13" ht="15.2" customHeight="1" x14ac:dyDescent="0.2">
      <c r="A47" s="6" t="s">
        <v>4236</v>
      </c>
      <c r="B47" s="7" t="s">
        <v>4237</v>
      </c>
      <c r="C47" s="8">
        <v>2</v>
      </c>
      <c r="D47" s="9">
        <v>16.239999999999998</v>
      </c>
      <c r="E47" s="9">
        <v>32.479999999999997</v>
      </c>
      <c r="F47" s="10">
        <v>44.5</v>
      </c>
      <c r="G47" s="9">
        <v>89</v>
      </c>
      <c r="H47" s="8" t="s">
        <v>3666</v>
      </c>
      <c r="I47" s="7" t="s">
        <v>3203</v>
      </c>
      <c r="J47" s="11" t="s">
        <v>3231</v>
      </c>
      <c r="K47" s="7" t="s">
        <v>3221</v>
      </c>
      <c r="L47" s="7" t="s">
        <v>3254</v>
      </c>
      <c r="M47" s="12" t="str">
        <f>HYPERLINK("http://slimages.macys.com/is/image/MCY/3774436 ")</f>
        <v xml:space="preserve">http://slimages.macys.com/is/image/MCY/3774436 </v>
      </c>
    </row>
    <row r="48" spans="1:13" ht="15.2" customHeight="1" x14ac:dyDescent="0.2">
      <c r="A48" s="6" t="s">
        <v>9</v>
      </c>
      <c r="B48" s="7" t="s">
        <v>10</v>
      </c>
      <c r="C48" s="8">
        <v>1</v>
      </c>
      <c r="D48" s="9">
        <v>16</v>
      </c>
      <c r="E48" s="9">
        <v>16</v>
      </c>
      <c r="F48" s="10">
        <v>39.979999999999997</v>
      </c>
      <c r="G48" s="9">
        <v>39.979999999999997</v>
      </c>
      <c r="H48" s="8" t="s">
        <v>11</v>
      </c>
      <c r="I48" s="7" t="s">
        <v>3234</v>
      </c>
      <c r="J48" s="11" t="s">
        <v>3202</v>
      </c>
      <c r="K48" s="7" t="s">
        <v>3295</v>
      </c>
      <c r="L48" s="7" t="s">
        <v>3296</v>
      </c>
      <c r="M48" s="12" t="str">
        <f>HYPERLINK("http://slimages.macys.com/is/image/MCY/1913271 ")</f>
        <v xml:space="preserve">http://slimages.macys.com/is/image/MCY/1913271 </v>
      </c>
    </row>
    <row r="49" spans="1:13" ht="15.2" customHeight="1" x14ac:dyDescent="0.2">
      <c r="A49" s="6" t="s">
        <v>3289</v>
      </c>
      <c r="B49" s="7" t="s">
        <v>3290</v>
      </c>
      <c r="C49" s="8">
        <v>2</v>
      </c>
      <c r="D49" s="9">
        <v>15.75</v>
      </c>
      <c r="E49" s="9">
        <v>31.5</v>
      </c>
      <c r="F49" s="10">
        <v>49</v>
      </c>
      <c r="G49" s="9">
        <v>98</v>
      </c>
      <c r="H49" s="8" t="s">
        <v>3291</v>
      </c>
      <c r="I49" s="7" t="s">
        <v>3252</v>
      </c>
      <c r="J49" s="11" t="s">
        <v>3186</v>
      </c>
      <c r="K49" s="7" t="s">
        <v>3217</v>
      </c>
      <c r="L49" s="7" t="s">
        <v>3218</v>
      </c>
      <c r="M49" s="12" t="str">
        <f>HYPERLINK("http://slimages.macys.com/is/image/MCY/3937264 ")</f>
        <v xml:space="preserve">http://slimages.macys.com/is/image/MCY/3937264 </v>
      </c>
    </row>
    <row r="50" spans="1:13" ht="15.2" customHeight="1" x14ac:dyDescent="0.2">
      <c r="A50" s="6" t="s">
        <v>1792</v>
      </c>
      <c r="B50" s="7" t="s">
        <v>1793</v>
      </c>
      <c r="C50" s="8">
        <v>2</v>
      </c>
      <c r="D50" s="9">
        <v>15</v>
      </c>
      <c r="E50" s="9">
        <v>30</v>
      </c>
      <c r="F50" s="10">
        <v>49</v>
      </c>
      <c r="G50" s="9">
        <v>98</v>
      </c>
      <c r="H50" s="8" t="s">
        <v>3294</v>
      </c>
      <c r="I50" s="7" t="s">
        <v>3252</v>
      </c>
      <c r="J50" s="11" t="s">
        <v>3220</v>
      </c>
      <c r="K50" s="7" t="s">
        <v>3295</v>
      </c>
      <c r="L50" s="7" t="s">
        <v>3296</v>
      </c>
      <c r="M50" s="12" t="str">
        <f>HYPERLINK("http://slimages.macys.com/is/image/MCY/3801894 ")</f>
        <v xml:space="preserve">http://slimages.macys.com/is/image/MCY/3801894 </v>
      </c>
    </row>
    <row r="51" spans="1:13" ht="15.2" customHeight="1" x14ac:dyDescent="0.2">
      <c r="A51" s="6" t="s">
        <v>2372</v>
      </c>
      <c r="B51" s="7" t="s">
        <v>2373</v>
      </c>
      <c r="C51" s="8">
        <v>3</v>
      </c>
      <c r="D51" s="9">
        <v>15</v>
      </c>
      <c r="E51" s="9">
        <v>45</v>
      </c>
      <c r="F51" s="10">
        <v>49</v>
      </c>
      <c r="G51" s="9">
        <v>147</v>
      </c>
      <c r="H51" s="8" t="s">
        <v>3294</v>
      </c>
      <c r="I51" s="7" t="s">
        <v>3252</v>
      </c>
      <c r="J51" s="11" t="s">
        <v>3202</v>
      </c>
      <c r="K51" s="7" t="s">
        <v>3295</v>
      </c>
      <c r="L51" s="7" t="s">
        <v>3296</v>
      </c>
      <c r="M51" s="12" t="str">
        <f>HYPERLINK("http://slimages.macys.com/is/image/MCY/3801894 ")</f>
        <v xml:space="preserve">http://slimages.macys.com/is/image/MCY/3801894 </v>
      </c>
    </row>
    <row r="52" spans="1:13" ht="15.2" customHeight="1" x14ac:dyDescent="0.2">
      <c r="A52" s="6" t="s">
        <v>4239</v>
      </c>
      <c r="B52" s="7" t="s">
        <v>4240</v>
      </c>
      <c r="C52" s="8">
        <v>2</v>
      </c>
      <c r="D52" s="9">
        <v>15</v>
      </c>
      <c r="E52" s="9">
        <v>30</v>
      </c>
      <c r="F52" s="10">
        <v>49</v>
      </c>
      <c r="G52" s="9">
        <v>98</v>
      </c>
      <c r="H52" s="8" t="s">
        <v>3294</v>
      </c>
      <c r="I52" s="7" t="s">
        <v>3252</v>
      </c>
      <c r="J52" s="11" t="s">
        <v>3186</v>
      </c>
      <c r="K52" s="7" t="s">
        <v>3295</v>
      </c>
      <c r="L52" s="7" t="s">
        <v>3296</v>
      </c>
      <c r="M52" s="12" t="str">
        <f>HYPERLINK("http://slimages.macys.com/is/image/MCY/3801894 ")</f>
        <v xml:space="preserve">http://slimages.macys.com/is/image/MCY/3801894 </v>
      </c>
    </row>
    <row r="53" spans="1:13" ht="15.2" customHeight="1" x14ac:dyDescent="0.2">
      <c r="A53" s="6" t="s">
        <v>2374</v>
      </c>
      <c r="B53" s="7" t="s">
        <v>2375</v>
      </c>
      <c r="C53" s="8">
        <v>1</v>
      </c>
      <c r="D53" s="9">
        <v>15</v>
      </c>
      <c r="E53" s="9">
        <v>15</v>
      </c>
      <c r="F53" s="10">
        <v>59</v>
      </c>
      <c r="G53" s="9">
        <v>59</v>
      </c>
      <c r="H53" s="8" t="s">
        <v>3299</v>
      </c>
      <c r="I53" s="7"/>
      <c r="J53" s="11" t="s">
        <v>3231</v>
      </c>
      <c r="K53" s="7" t="s">
        <v>3295</v>
      </c>
      <c r="L53" s="7" t="s">
        <v>3296</v>
      </c>
      <c r="M53" s="12" t="str">
        <f>HYPERLINK("http://slimages.macys.com/is/image/MCY/3667495 ")</f>
        <v xml:space="preserve">http://slimages.macys.com/is/image/MCY/3667495 </v>
      </c>
    </row>
    <row r="54" spans="1:13" ht="15.2" customHeight="1" x14ac:dyDescent="0.2">
      <c r="A54" s="6" t="s">
        <v>700</v>
      </c>
      <c r="B54" s="7" t="s">
        <v>701</v>
      </c>
      <c r="C54" s="8">
        <v>1</v>
      </c>
      <c r="D54" s="9">
        <v>15</v>
      </c>
      <c r="E54" s="9">
        <v>15</v>
      </c>
      <c r="F54" s="10">
        <v>59</v>
      </c>
      <c r="G54" s="9">
        <v>59</v>
      </c>
      <c r="H54" s="8" t="s">
        <v>3299</v>
      </c>
      <c r="I54" s="7"/>
      <c r="J54" s="11" t="s">
        <v>3186</v>
      </c>
      <c r="K54" s="7" t="s">
        <v>3295</v>
      </c>
      <c r="L54" s="7" t="s">
        <v>3296</v>
      </c>
      <c r="M54" s="12" t="str">
        <f>HYPERLINK("http://slimages.macys.com/is/image/MCY/3667495 ")</f>
        <v xml:space="preserve">http://slimages.macys.com/is/image/MCY/3667495 </v>
      </c>
    </row>
    <row r="55" spans="1:13" ht="15.2" customHeight="1" x14ac:dyDescent="0.2">
      <c r="A55" s="6" t="s">
        <v>3138</v>
      </c>
      <c r="B55" s="7" t="s">
        <v>3139</v>
      </c>
      <c r="C55" s="8">
        <v>1</v>
      </c>
      <c r="D55" s="9">
        <v>15</v>
      </c>
      <c r="E55" s="9">
        <v>15</v>
      </c>
      <c r="F55" s="10">
        <v>49</v>
      </c>
      <c r="G55" s="9">
        <v>49</v>
      </c>
      <c r="H55" s="8" t="s">
        <v>3294</v>
      </c>
      <c r="I55" s="7" t="s">
        <v>3252</v>
      </c>
      <c r="J55" s="11" t="s">
        <v>3242</v>
      </c>
      <c r="K55" s="7" t="s">
        <v>3295</v>
      </c>
      <c r="L55" s="7" t="s">
        <v>3296</v>
      </c>
      <c r="M55" s="12" t="str">
        <f>HYPERLINK("http://slimages.macys.com/is/image/MCY/3801894 ")</f>
        <v xml:space="preserve">http://slimages.macys.com/is/image/MCY/3801894 </v>
      </c>
    </row>
    <row r="56" spans="1:13" ht="15.2" customHeight="1" x14ac:dyDescent="0.2">
      <c r="A56" s="6" t="s">
        <v>12</v>
      </c>
      <c r="B56" s="7" t="s">
        <v>13</v>
      </c>
      <c r="C56" s="8">
        <v>1</v>
      </c>
      <c r="D56" s="9">
        <v>14.77</v>
      </c>
      <c r="E56" s="9">
        <v>14.77</v>
      </c>
      <c r="F56" s="10">
        <v>39.5</v>
      </c>
      <c r="G56" s="9">
        <v>39.5</v>
      </c>
      <c r="H56" s="8" t="s">
        <v>3142</v>
      </c>
      <c r="I56" s="7" t="s">
        <v>3339</v>
      </c>
      <c r="J56" s="11" t="s">
        <v>3220</v>
      </c>
      <c r="K56" s="7" t="s">
        <v>3221</v>
      </c>
      <c r="L56" s="7" t="s">
        <v>3224</v>
      </c>
      <c r="M56" s="12" t="str">
        <f>HYPERLINK("http://slimages.macys.com/is/image/MCY/3802120 ")</f>
        <v xml:space="preserve">http://slimages.macys.com/is/image/MCY/3802120 </v>
      </c>
    </row>
    <row r="57" spans="1:13" ht="15.2" customHeight="1" x14ac:dyDescent="0.2">
      <c r="A57" s="6" t="s">
        <v>4241</v>
      </c>
      <c r="B57" s="7" t="s">
        <v>4242</v>
      </c>
      <c r="C57" s="8">
        <v>1</v>
      </c>
      <c r="D57" s="9">
        <v>14.5</v>
      </c>
      <c r="E57" s="9">
        <v>14.5</v>
      </c>
      <c r="F57" s="10">
        <v>39.5</v>
      </c>
      <c r="G57" s="9">
        <v>39.5</v>
      </c>
      <c r="H57" s="8" t="s">
        <v>3305</v>
      </c>
      <c r="I57" s="7" t="s">
        <v>3185</v>
      </c>
      <c r="J57" s="11" t="s">
        <v>3220</v>
      </c>
      <c r="K57" s="7" t="s">
        <v>3232</v>
      </c>
      <c r="L57" s="7" t="s">
        <v>3306</v>
      </c>
      <c r="M57" s="12" t="str">
        <f>HYPERLINK("http://slimages.macys.com/is/image/MCY/3954949 ")</f>
        <v xml:space="preserve">http://slimages.macys.com/is/image/MCY/3954949 </v>
      </c>
    </row>
    <row r="58" spans="1:13" ht="15.2" customHeight="1" x14ac:dyDescent="0.2">
      <c r="A58" s="6" t="s">
        <v>14</v>
      </c>
      <c r="B58" s="7" t="s">
        <v>15</v>
      </c>
      <c r="C58" s="8">
        <v>1</v>
      </c>
      <c r="D58" s="9">
        <v>14.5</v>
      </c>
      <c r="E58" s="9">
        <v>14.5</v>
      </c>
      <c r="F58" s="10">
        <v>39.5</v>
      </c>
      <c r="G58" s="9">
        <v>39.5</v>
      </c>
      <c r="H58" s="8" t="s">
        <v>1794</v>
      </c>
      <c r="I58" s="7" t="s">
        <v>3252</v>
      </c>
      <c r="J58" s="11" t="s">
        <v>3186</v>
      </c>
      <c r="K58" s="7" t="s">
        <v>3232</v>
      </c>
      <c r="L58" s="7" t="s">
        <v>3233</v>
      </c>
      <c r="M58" s="12" t="str">
        <f>HYPERLINK("http://slimages.macys.com/is/image/MCY/3578227 ")</f>
        <v xml:space="preserve">http://slimages.macys.com/is/image/MCY/3578227 </v>
      </c>
    </row>
    <row r="59" spans="1:13" ht="15.2" customHeight="1" x14ac:dyDescent="0.2">
      <c r="A59" s="6" t="s">
        <v>3676</v>
      </c>
      <c r="B59" s="7" t="s">
        <v>3677</v>
      </c>
      <c r="C59" s="8">
        <v>1</v>
      </c>
      <c r="D59" s="9">
        <v>14.5</v>
      </c>
      <c r="E59" s="9">
        <v>14.5</v>
      </c>
      <c r="F59" s="10">
        <v>39.5</v>
      </c>
      <c r="G59" s="9">
        <v>39.5</v>
      </c>
      <c r="H59" s="8" t="s">
        <v>3307</v>
      </c>
      <c r="I59" s="7" t="s">
        <v>3185</v>
      </c>
      <c r="J59" s="11" t="s">
        <v>3202</v>
      </c>
      <c r="K59" s="7" t="s">
        <v>3232</v>
      </c>
      <c r="L59" s="7" t="s">
        <v>3308</v>
      </c>
      <c r="M59" s="12" t="str">
        <f>HYPERLINK("http://slimages.macys.com/is/image/MCY/3954889 ")</f>
        <v xml:space="preserve">http://slimages.macys.com/is/image/MCY/3954889 </v>
      </c>
    </row>
    <row r="60" spans="1:13" ht="15.2" customHeight="1" x14ac:dyDescent="0.2">
      <c r="A60" s="6" t="s">
        <v>16</v>
      </c>
      <c r="B60" s="7" t="s">
        <v>17</v>
      </c>
      <c r="C60" s="8">
        <v>1</v>
      </c>
      <c r="D60" s="9">
        <v>14.5</v>
      </c>
      <c r="E60" s="9">
        <v>14.5</v>
      </c>
      <c r="F60" s="10">
        <v>34.99</v>
      </c>
      <c r="G60" s="9">
        <v>34.99</v>
      </c>
      <c r="H60" s="8" t="s">
        <v>18</v>
      </c>
      <c r="I60" s="7" t="s">
        <v>3252</v>
      </c>
      <c r="J60" s="11" t="s">
        <v>3204</v>
      </c>
      <c r="K60" s="7" t="s">
        <v>3326</v>
      </c>
      <c r="L60" s="7" t="s">
        <v>3282</v>
      </c>
      <c r="M60" s="12" t="str">
        <f>HYPERLINK("http://slimages.macys.com/is/image/MCY/3207702 ")</f>
        <v xml:space="preserve">http://slimages.macys.com/is/image/MCY/3207702 </v>
      </c>
    </row>
    <row r="61" spans="1:13" ht="15.2" customHeight="1" x14ac:dyDescent="0.2">
      <c r="A61" s="6" t="s">
        <v>19</v>
      </c>
      <c r="B61" s="7" t="s">
        <v>20</v>
      </c>
      <c r="C61" s="8">
        <v>1</v>
      </c>
      <c r="D61" s="9">
        <v>14.5</v>
      </c>
      <c r="E61" s="9">
        <v>14.5</v>
      </c>
      <c r="F61" s="10">
        <v>59</v>
      </c>
      <c r="G61" s="9">
        <v>59</v>
      </c>
      <c r="H61" s="8" t="s">
        <v>2223</v>
      </c>
      <c r="I61" s="7" t="s">
        <v>3681</v>
      </c>
      <c r="J61" s="11" t="s">
        <v>3284</v>
      </c>
      <c r="K61" s="7" t="s">
        <v>3281</v>
      </c>
      <c r="L61" s="7" t="s">
        <v>3282</v>
      </c>
      <c r="M61" s="12" t="str">
        <f>HYPERLINK("http://slimages.macys.com/is/image/MCY/3798070 ")</f>
        <v xml:space="preserve">http://slimages.macys.com/is/image/MCY/3798070 </v>
      </c>
    </row>
    <row r="62" spans="1:13" ht="15.2" customHeight="1" x14ac:dyDescent="0.2">
      <c r="A62" s="6" t="s">
        <v>1593</v>
      </c>
      <c r="B62" s="7" t="s">
        <v>1594</v>
      </c>
      <c r="C62" s="8">
        <v>1</v>
      </c>
      <c r="D62" s="9">
        <v>14.5</v>
      </c>
      <c r="E62" s="9">
        <v>14.5</v>
      </c>
      <c r="F62" s="10">
        <v>45</v>
      </c>
      <c r="G62" s="9">
        <v>45</v>
      </c>
      <c r="H62" s="8" t="s">
        <v>4067</v>
      </c>
      <c r="I62" s="7" t="s">
        <v>3207</v>
      </c>
      <c r="J62" s="11" t="s">
        <v>3220</v>
      </c>
      <c r="K62" s="7" t="s">
        <v>3295</v>
      </c>
      <c r="L62" s="7" t="s">
        <v>3296</v>
      </c>
      <c r="M62" s="12" t="str">
        <f>HYPERLINK("http://slimages.macys.com/is/image/MCY/3841161 ")</f>
        <v xml:space="preserve">http://slimages.macys.com/is/image/MCY/3841161 </v>
      </c>
    </row>
    <row r="63" spans="1:13" ht="15.2" customHeight="1" x14ac:dyDescent="0.2">
      <c r="A63" s="6" t="s">
        <v>3313</v>
      </c>
      <c r="B63" s="7" t="s">
        <v>3314</v>
      </c>
      <c r="C63" s="8">
        <v>1</v>
      </c>
      <c r="D63" s="9">
        <v>14.49</v>
      </c>
      <c r="E63" s="9">
        <v>14.49</v>
      </c>
      <c r="F63" s="10">
        <v>39.5</v>
      </c>
      <c r="G63" s="9">
        <v>39.5</v>
      </c>
      <c r="H63" s="8" t="s">
        <v>3315</v>
      </c>
      <c r="I63" s="7" t="s">
        <v>3207</v>
      </c>
      <c r="J63" s="11" t="s">
        <v>3186</v>
      </c>
      <c r="K63" s="7" t="s">
        <v>3232</v>
      </c>
      <c r="L63" s="7" t="s">
        <v>3233</v>
      </c>
      <c r="M63" s="12" t="str">
        <f>HYPERLINK("http://slimages.macys.com/is/image/MCY/3711087 ")</f>
        <v xml:space="preserve">http://slimages.macys.com/is/image/MCY/3711087 </v>
      </c>
    </row>
    <row r="64" spans="1:13" ht="15.2" customHeight="1" x14ac:dyDescent="0.2">
      <c r="A64" s="6" t="s">
        <v>21</v>
      </c>
      <c r="B64" s="7" t="s">
        <v>22</v>
      </c>
      <c r="C64" s="8">
        <v>1</v>
      </c>
      <c r="D64" s="9">
        <v>13.25</v>
      </c>
      <c r="E64" s="9">
        <v>13.25</v>
      </c>
      <c r="F64" s="10">
        <v>29.99</v>
      </c>
      <c r="G64" s="9">
        <v>29.99</v>
      </c>
      <c r="H64" s="8" t="s">
        <v>1897</v>
      </c>
      <c r="I64" s="7" t="s">
        <v>3234</v>
      </c>
      <c r="J64" s="11" t="s">
        <v>3271</v>
      </c>
      <c r="K64" s="7" t="s">
        <v>3326</v>
      </c>
      <c r="L64" s="7" t="s">
        <v>3868</v>
      </c>
      <c r="M64" s="12" t="str">
        <f>HYPERLINK("http://slimages.macys.com/is/image/MCY/3954548 ")</f>
        <v xml:space="preserve">http://slimages.macys.com/is/image/MCY/3954548 </v>
      </c>
    </row>
    <row r="65" spans="1:13" ht="15.2" customHeight="1" x14ac:dyDescent="0.2">
      <c r="A65" s="6" t="s">
        <v>23</v>
      </c>
      <c r="B65" s="7" t="s">
        <v>24</v>
      </c>
      <c r="C65" s="8">
        <v>1</v>
      </c>
      <c r="D65" s="9">
        <v>13</v>
      </c>
      <c r="E65" s="9">
        <v>13</v>
      </c>
      <c r="F65" s="10">
        <v>29.99</v>
      </c>
      <c r="G65" s="9">
        <v>29.99</v>
      </c>
      <c r="H65" s="8" t="s">
        <v>25</v>
      </c>
      <c r="I65" s="7" t="s">
        <v>3234</v>
      </c>
      <c r="J65" s="11" t="s">
        <v>3331</v>
      </c>
      <c r="K65" s="7" t="s">
        <v>3326</v>
      </c>
      <c r="L65" s="7" t="s">
        <v>3327</v>
      </c>
      <c r="M65" s="12" t="str">
        <f>HYPERLINK("http://slimages.macys.com/is/image/MCY/2927282 ")</f>
        <v xml:space="preserve">http://slimages.macys.com/is/image/MCY/2927282 </v>
      </c>
    </row>
    <row r="66" spans="1:13" ht="15.2" customHeight="1" x14ac:dyDescent="0.2">
      <c r="A66" s="6" t="s">
        <v>26</v>
      </c>
      <c r="B66" s="7" t="s">
        <v>27</v>
      </c>
      <c r="C66" s="8">
        <v>1</v>
      </c>
      <c r="D66" s="9">
        <v>13</v>
      </c>
      <c r="E66" s="9">
        <v>13</v>
      </c>
      <c r="F66" s="10">
        <v>39</v>
      </c>
      <c r="G66" s="9">
        <v>39</v>
      </c>
      <c r="H66" s="8" t="s">
        <v>28</v>
      </c>
      <c r="I66" s="7" t="s">
        <v>3433</v>
      </c>
      <c r="J66" s="11" t="s">
        <v>3220</v>
      </c>
      <c r="K66" s="7" t="s">
        <v>3295</v>
      </c>
      <c r="L66" s="7" t="s">
        <v>3296</v>
      </c>
      <c r="M66" s="12" t="str">
        <f>HYPERLINK("http://slimages.macys.com/is/image/MCY/3534328 ")</f>
        <v xml:space="preserve">http://slimages.macys.com/is/image/MCY/3534328 </v>
      </c>
    </row>
    <row r="67" spans="1:13" ht="15.2" customHeight="1" x14ac:dyDescent="0.2">
      <c r="A67" s="6" t="s">
        <v>3876</v>
      </c>
      <c r="B67" s="7" t="s">
        <v>3877</v>
      </c>
      <c r="C67" s="8">
        <v>1</v>
      </c>
      <c r="D67" s="9">
        <v>12.77</v>
      </c>
      <c r="E67" s="9">
        <v>12.77</v>
      </c>
      <c r="F67" s="10">
        <v>34.99</v>
      </c>
      <c r="G67" s="9">
        <v>34.99</v>
      </c>
      <c r="H67" s="8" t="s">
        <v>3690</v>
      </c>
      <c r="I67" s="7" t="s">
        <v>3257</v>
      </c>
      <c r="J67" s="11" t="s">
        <v>3186</v>
      </c>
      <c r="K67" s="7" t="s">
        <v>3221</v>
      </c>
      <c r="L67" s="7" t="s">
        <v>3254</v>
      </c>
      <c r="M67" s="12" t="str">
        <f t="shared" ref="M67:M76" si="0">HYPERLINK("http://slimages.macys.com/is/image/MCY/3913270 ")</f>
        <v xml:space="preserve">http://slimages.macys.com/is/image/MCY/3913270 </v>
      </c>
    </row>
    <row r="68" spans="1:13" ht="15.2" customHeight="1" x14ac:dyDescent="0.2">
      <c r="A68" s="6" t="s">
        <v>4253</v>
      </c>
      <c r="B68" s="7" t="s">
        <v>4254</v>
      </c>
      <c r="C68" s="8">
        <v>2</v>
      </c>
      <c r="D68" s="9">
        <v>12.77</v>
      </c>
      <c r="E68" s="9">
        <v>25.54</v>
      </c>
      <c r="F68" s="10">
        <v>34.99</v>
      </c>
      <c r="G68" s="9">
        <v>69.98</v>
      </c>
      <c r="H68" s="8" t="s">
        <v>3690</v>
      </c>
      <c r="I68" s="7" t="s">
        <v>3203</v>
      </c>
      <c r="J68" s="11" t="s">
        <v>3202</v>
      </c>
      <c r="K68" s="7" t="s">
        <v>3221</v>
      </c>
      <c r="L68" s="7" t="s">
        <v>3254</v>
      </c>
      <c r="M68" s="12" t="str">
        <f t="shared" si="0"/>
        <v xml:space="preserve">http://slimages.macys.com/is/image/MCY/3913270 </v>
      </c>
    </row>
    <row r="69" spans="1:13" ht="15.2" customHeight="1" x14ac:dyDescent="0.2">
      <c r="A69" s="6" t="s">
        <v>3688</v>
      </c>
      <c r="B69" s="7" t="s">
        <v>3689</v>
      </c>
      <c r="C69" s="8">
        <v>1</v>
      </c>
      <c r="D69" s="9">
        <v>12.77</v>
      </c>
      <c r="E69" s="9">
        <v>12.77</v>
      </c>
      <c r="F69" s="10">
        <v>34.99</v>
      </c>
      <c r="G69" s="9">
        <v>34.99</v>
      </c>
      <c r="H69" s="8" t="s">
        <v>3690</v>
      </c>
      <c r="I69" s="7" t="s">
        <v>3214</v>
      </c>
      <c r="J69" s="11" t="s">
        <v>3202</v>
      </c>
      <c r="K69" s="7" t="s">
        <v>3221</v>
      </c>
      <c r="L69" s="7" t="s">
        <v>3254</v>
      </c>
      <c r="M69" s="12" t="str">
        <f t="shared" si="0"/>
        <v xml:space="preserve">http://slimages.macys.com/is/image/MCY/3913270 </v>
      </c>
    </row>
    <row r="70" spans="1:13" ht="15.2" customHeight="1" x14ac:dyDescent="0.2">
      <c r="A70" s="6" t="s">
        <v>3878</v>
      </c>
      <c r="B70" s="7" t="s">
        <v>3879</v>
      </c>
      <c r="C70" s="8">
        <v>1</v>
      </c>
      <c r="D70" s="9">
        <v>12.77</v>
      </c>
      <c r="E70" s="9">
        <v>12.77</v>
      </c>
      <c r="F70" s="10">
        <v>34.99</v>
      </c>
      <c r="G70" s="9">
        <v>34.99</v>
      </c>
      <c r="H70" s="8" t="s">
        <v>3690</v>
      </c>
      <c r="I70" s="7" t="s">
        <v>3203</v>
      </c>
      <c r="J70" s="11" t="s">
        <v>3231</v>
      </c>
      <c r="K70" s="7" t="s">
        <v>3221</v>
      </c>
      <c r="L70" s="7" t="s">
        <v>3254</v>
      </c>
      <c r="M70" s="12" t="str">
        <f t="shared" si="0"/>
        <v xml:space="preserve">http://slimages.macys.com/is/image/MCY/3913270 </v>
      </c>
    </row>
    <row r="71" spans="1:13" ht="15.2" customHeight="1" x14ac:dyDescent="0.2">
      <c r="A71" s="6" t="s">
        <v>29</v>
      </c>
      <c r="B71" s="7" t="s">
        <v>30</v>
      </c>
      <c r="C71" s="8">
        <v>1</v>
      </c>
      <c r="D71" s="9">
        <v>12.77</v>
      </c>
      <c r="E71" s="9">
        <v>12.77</v>
      </c>
      <c r="F71" s="10">
        <v>34.99</v>
      </c>
      <c r="G71" s="9">
        <v>34.99</v>
      </c>
      <c r="H71" s="8" t="s">
        <v>3690</v>
      </c>
      <c r="I71" s="7" t="s">
        <v>3252</v>
      </c>
      <c r="J71" s="11" t="s">
        <v>3231</v>
      </c>
      <c r="K71" s="7" t="s">
        <v>3221</v>
      </c>
      <c r="L71" s="7" t="s">
        <v>3254</v>
      </c>
      <c r="M71" s="12" t="str">
        <f t="shared" si="0"/>
        <v xml:space="preserve">http://slimages.macys.com/is/image/MCY/3913270 </v>
      </c>
    </row>
    <row r="72" spans="1:13" ht="15.2" customHeight="1" x14ac:dyDescent="0.2">
      <c r="A72" s="6" t="s">
        <v>4255</v>
      </c>
      <c r="B72" s="7" t="s">
        <v>4256</v>
      </c>
      <c r="C72" s="8">
        <v>2</v>
      </c>
      <c r="D72" s="9">
        <v>12.77</v>
      </c>
      <c r="E72" s="9">
        <v>25.54</v>
      </c>
      <c r="F72" s="10">
        <v>34.99</v>
      </c>
      <c r="G72" s="9">
        <v>69.98</v>
      </c>
      <c r="H72" s="8" t="s">
        <v>3690</v>
      </c>
      <c r="I72" s="7" t="s">
        <v>3214</v>
      </c>
      <c r="J72" s="11" t="s">
        <v>3220</v>
      </c>
      <c r="K72" s="7" t="s">
        <v>3221</v>
      </c>
      <c r="L72" s="7" t="s">
        <v>3254</v>
      </c>
      <c r="M72" s="12" t="str">
        <f t="shared" si="0"/>
        <v xml:space="preserve">http://slimages.macys.com/is/image/MCY/3913270 </v>
      </c>
    </row>
    <row r="73" spans="1:13" ht="15.2" customHeight="1" x14ac:dyDescent="0.2">
      <c r="A73" s="6" t="s">
        <v>4073</v>
      </c>
      <c r="B73" s="7" t="s">
        <v>4074</v>
      </c>
      <c r="C73" s="8">
        <v>1</v>
      </c>
      <c r="D73" s="9">
        <v>12.77</v>
      </c>
      <c r="E73" s="9">
        <v>12.77</v>
      </c>
      <c r="F73" s="10">
        <v>34.99</v>
      </c>
      <c r="G73" s="9">
        <v>34.99</v>
      </c>
      <c r="H73" s="8" t="s">
        <v>3690</v>
      </c>
      <c r="I73" s="7" t="s">
        <v>3214</v>
      </c>
      <c r="J73" s="11" t="s">
        <v>3186</v>
      </c>
      <c r="K73" s="7" t="s">
        <v>3221</v>
      </c>
      <c r="L73" s="7" t="s">
        <v>3254</v>
      </c>
      <c r="M73" s="12" t="str">
        <f t="shared" si="0"/>
        <v xml:space="preserve">http://slimages.macys.com/is/image/MCY/3913270 </v>
      </c>
    </row>
    <row r="74" spans="1:13" ht="15.2" customHeight="1" x14ac:dyDescent="0.2">
      <c r="A74" s="6" t="s">
        <v>4257</v>
      </c>
      <c r="B74" s="7" t="s">
        <v>4258</v>
      </c>
      <c r="C74" s="8">
        <v>1</v>
      </c>
      <c r="D74" s="9">
        <v>12.77</v>
      </c>
      <c r="E74" s="9">
        <v>12.77</v>
      </c>
      <c r="F74" s="10">
        <v>34.99</v>
      </c>
      <c r="G74" s="9">
        <v>34.99</v>
      </c>
      <c r="H74" s="8" t="s">
        <v>3690</v>
      </c>
      <c r="I74" s="7" t="s">
        <v>3257</v>
      </c>
      <c r="J74" s="11" t="s">
        <v>3202</v>
      </c>
      <c r="K74" s="7" t="s">
        <v>3221</v>
      </c>
      <c r="L74" s="7" t="s">
        <v>3254</v>
      </c>
      <c r="M74" s="12" t="str">
        <f t="shared" si="0"/>
        <v xml:space="preserve">http://slimages.macys.com/is/image/MCY/3913270 </v>
      </c>
    </row>
    <row r="75" spans="1:13" ht="15.2" customHeight="1" x14ac:dyDescent="0.2">
      <c r="A75" s="6" t="s">
        <v>31</v>
      </c>
      <c r="B75" s="7" t="s">
        <v>32</v>
      </c>
      <c r="C75" s="8">
        <v>1</v>
      </c>
      <c r="D75" s="9">
        <v>12.77</v>
      </c>
      <c r="E75" s="9">
        <v>12.77</v>
      </c>
      <c r="F75" s="10">
        <v>34.99</v>
      </c>
      <c r="G75" s="9">
        <v>34.99</v>
      </c>
      <c r="H75" s="8" t="s">
        <v>3690</v>
      </c>
      <c r="I75" s="7" t="s">
        <v>3203</v>
      </c>
      <c r="J75" s="11" t="s">
        <v>3310</v>
      </c>
      <c r="K75" s="7" t="s">
        <v>3221</v>
      </c>
      <c r="L75" s="7" t="s">
        <v>3254</v>
      </c>
      <c r="M75" s="12" t="str">
        <f t="shared" si="0"/>
        <v xml:space="preserve">http://slimages.macys.com/is/image/MCY/3913270 </v>
      </c>
    </row>
    <row r="76" spans="1:13" ht="15.2" customHeight="1" x14ac:dyDescent="0.2">
      <c r="A76" s="6" t="s">
        <v>33</v>
      </c>
      <c r="B76" s="7" t="s">
        <v>34</v>
      </c>
      <c r="C76" s="8">
        <v>2</v>
      </c>
      <c r="D76" s="9">
        <v>12.77</v>
      </c>
      <c r="E76" s="9">
        <v>25.54</v>
      </c>
      <c r="F76" s="10">
        <v>34.99</v>
      </c>
      <c r="G76" s="9">
        <v>69.98</v>
      </c>
      <c r="H76" s="8" t="s">
        <v>3690</v>
      </c>
      <c r="I76" s="7" t="s">
        <v>3257</v>
      </c>
      <c r="J76" s="11" t="s">
        <v>3242</v>
      </c>
      <c r="K76" s="7" t="s">
        <v>3221</v>
      </c>
      <c r="L76" s="7" t="s">
        <v>3254</v>
      </c>
      <c r="M76" s="12" t="str">
        <f t="shared" si="0"/>
        <v xml:space="preserve">http://slimages.macys.com/is/image/MCY/3913270 </v>
      </c>
    </row>
    <row r="77" spans="1:13" ht="15.2" customHeight="1" x14ac:dyDescent="0.2">
      <c r="A77" s="6" t="s">
        <v>35</v>
      </c>
      <c r="B77" s="7" t="s">
        <v>36</v>
      </c>
      <c r="C77" s="8">
        <v>1</v>
      </c>
      <c r="D77" s="9">
        <v>12.65</v>
      </c>
      <c r="E77" s="9">
        <v>12.65</v>
      </c>
      <c r="F77" s="10">
        <v>29.99</v>
      </c>
      <c r="G77" s="9">
        <v>29.99</v>
      </c>
      <c r="H77" s="8" t="s">
        <v>4259</v>
      </c>
      <c r="I77" s="7" t="s">
        <v>3182</v>
      </c>
      <c r="J77" s="11" t="s">
        <v>3351</v>
      </c>
      <c r="K77" s="7" t="s">
        <v>3326</v>
      </c>
      <c r="L77" s="7" t="s">
        <v>3693</v>
      </c>
      <c r="M77" s="12" t="str">
        <f>HYPERLINK("http://slimages.macys.com/is/image/MCY/3773746 ")</f>
        <v xml:space="preserve">http://slimages.macys.com/is/image/MCY/3773746 </v>
      </c>
    </row>
    <row r="78" spans="1:13" ht="15.2" customHeight="1" x14ac:dyDescent="0.2">
      <c r="A78" s="6" t="s">
        <v>3694</v>
      </c>
      <c r="B78" s="7" t="s">
        <v>3695</v>
      </c>
      <c r="C78" s="8">
        <v>2</v>
      </c>
      <c r="D78" s="9">
        <v>12.6</v>
      </c>
      <c r="E78" s="9">
        <v>25.2</v>
      </c>
      <c r="F78" s="10">
        <v>29.99</v>
      </c>
      <c r="G78" s="9">
        <v>59.98</v>
      </c>
      <c r="H78" s="8" t="s">
        <v>3696</v>
      </c>
      <c r="I78" s="7" t="s">
        <v>3235</v>
      </c>
      <c r="J78" s="11" t="s">
        <v>3202</v>
      </c>
      <c r="K78" s="7" t="s">
        <v>3300</v>
      </c>
      <c r="L78" s="7" t="s">
        <v>3301</v>
      </c>
      <c r="M78" s="12" t="str">
        <f>HYPERLINK("http://slimages.macys.com/is/image/MCY/3857674 ")</f>
        <v xml:space="preserve">http://slimages.macys.com/is/image/MCY/3857674 </v>
      </c>
    </row>
    <row r="79" spans="1:13" ht="15.2" customHeight="1" x14ac:dyDescent="0.2">
      <c r="A79" s="6" t="s">
        <v>1125</v>
      </c>
      <c r="B79" s="7" t="s">
        <v>1126</v>
      </c>
      <c r="C79" s="8">
        <v>1</v>
      </c>
      <c r="D79" s="9">
        <v>12.6</v>
      </c>
      <c r="E79" s="9">
        <v>12.6</v>
      </c>
      <c r="F79" s="10">
        <v>29.99</v>
      </c>
      <c r="G79" s="9">
        <v>29.99</v>
      </c>
      <c r="H79" s="8" t="s">
        <v>3696</v>
      </c>
      <c r="I79" s="7" t="s">
        <v>3235</v>
      </c>
      <c r="J79" s="11" t="s">
        <v>3231</v>
      </c>
      <c r="K79" s="7" t="s">
        <v>3300</v>
      </c>
      <c r="L79" s="7" t="s">
        <v>3301</v>
      </c>
      <c r="M79" s="12" t="str">
        <f>HYPERLINK("http://slimages.macys.com/is/image/MCY/3857674 ")</f>
        <v xml:space="preserve">http://slimages.macys.com/is/image/MCY/3857674 </v>
      </c>
    </row>
    <row r="80" spans="1:13" ht="15.2" customHeight="1" x14ac:dyDescent="0.2">
      <c r="A80" s="6" t="s">
        <v>37</v>
      </c>
      <c r="B80" s="7" t="s">
        <v>38</v>
      </c>
      <c r="C80" s="8">
        <v>1</v>
      </c>
      <c r="D80" s="9">
        <v>12.5</v>
      </c>
      <c r="E80" s="9">
        <v>12.5</v>
      </c>
      <c r="F80" s="10">
        <v>49</v>
      </c>
      <c r="G80" s="9">
        <v>49</v>
      </c>
      <c r="H80" s="8" t="s">
        <v>3880</v>
      </c>
      <c r="I80" s="7" t="s">
        <v>3237</v>
      </c>
      <c r="J80" s="11" t="s">
        <v>3242</v>
      </c>
      <c r="K80" s="7" t="s">
        <v>3295</v>
      </c>
      <c r="L80" s="7" t="s">
        <v>3296</v>
      </c>
      <c r="M80" s="12" t="str">
        <f>HYPERLINK("http://slimages.macys.com/is/image/MCY/3852652 ")</f>
        <v xml:space="preserve">http://slimages.macys.com/is/image/MCY/3852652 </v>
      </c>
    </row>
    <row r="81" spans="1:13" ht="15.2" customHeight="1" x14ac:dyDescent="0.2">
      <c r="A81" s="6" t="s">
        <v>1146</v>
      </c>
      <c r="B81" s="7" t="s">
        <v>1147</v>
      </c>
      <c r="C81" s="8">
        <v>1</v>
      </c>
      <c r="D81" s="9">
        <v>12</v>
      </c>
      <c r="E81" s="9">
        <v>12</v>
      </c>
      <c r="F81" s="10">
        <v>27.99</v>
      </c>
      <c r="G81" s="9">
        <v>27.99</v>
      </c>
      <c r="H81" s="8" t="s">
        <v>3881</v>
      </c>
      <c r="I81" s="7" t="s">
        <v>3185</v>
      </c>
      <c r="J81" s="11" t="s">
        <v>3186</v>
      </c>
      <c r="K81" s="7" t="s">
        <v>3343</v>
      </c>
      <c r="L81" s="7" t="s">
        <v>3354</v>
      </c>
      <c r="M81" s="12" t="str">
        <f>HYPERLINK("http://slimages.macys.com/is/image/MCY/3853650 ")</f>
        <v xml:space="preserve">http://slimages.macys.com/is/image/MCY/3853650 </v>
      </c>
    </row>
    <row r="82" spans="1:13" ht="15.2" customHeight="1" x14ac:dyDescent="0.2">
      <c r="A82" s="6" t="s">
        <v>39</v>
      </c>
      <c r="B82" s="7" t="s">
        <v>40</v>
      </c>
      <c r="C82" s="8">
        <v>1</v>
      </c>
      <c r="D82" s="9">
        <v>12</v>
      </c>
      <c r="E82" s="9">
        <v>12</v>
      </c>
      <c r="F82" s="10">
        <v>39</v>
      </c>
      <c r="G82" s="9">
        <v>39</v>
      </c>
      <c r="H82" s="8" t="s">
        <v>3882</v>
      </c>
      <c r="I82" s="7" t="s">
        <v>3252</v>
      </c>
      <c r="J82" s="11" t="s">
        <v>3220</v>
      </c>
      <c r="K82" s="7" t="s">
        <v>3295</v>
      </c>
      <c r="L82" s="7" t="s">
        <v>3296</v>
      </c>
      <c r="M82" s="12" t="str">
        <f>HYPERLINK("http://slimages.macys.com/is/image/MCY/3781182 ")</f>
        <v xml:space="preserve">http://slimages.macys.com/is/image/MCY/3781182 </v>
      </c>
    </row>
    <row r="83" spans="1:13" ht="15.2" customHeight="1" x14ac:dyDescent="0.2">
      <c r="A83" s="6" t="s">
        <v>41</v>
      </c>
      <c r="B83" s="7" t="s">
        <v>42</v>
      </c>
      <c r="C83" s="8">
        <v>1</v>
      </c>
      <c r="D83" s="9">
        <v>12</v>
      </c>
      <c r="E83" s="9">
        <v>12</v>
      </c>
      <c r="F83" s="10">
        <v>39</v>
      </c>
      <c r="G83" s="9">
        <v>39</v>
      </c>
      <c r="H83" s="8" t="s">
        <v>43</v>
      </c>
      <c r="I83" s="7"/>
      <c r="J83" s="11" t="s">
        <v>3186</v>
      </c>
      <c r="K83" s="7" t="s">
        <v>3295</v>
      </c>
      <c r="L83" s="7" t="s">
        <v>3296</v>
      </c>
      <c r="M83" s="12" t="str">
        <f>HYPERLINK("http://slimages.macys.com/is/image/MCY/3718973 ")</f>
        <v xml:space="preserve">http://slimages.macys.com/is/image/MCY/3718973 </v>
      </c>
    </row>
    <row r="84" spans="1:13" ht="15.2" customHeight="1" x14ac:dyDescent="0.2">
      <c r="A84" s="6" t="s">
        <v>44</v>
      </c>
      <c r="B84" s="7" t="s">
        <v>45</v>
      </c>
      <c r="C84" s="8">
        <v>1</v>
      </c>
      <c r="D84" s="9">
        <v>12</v>
      </c>
      <c r="E84" s="9">
        <v>12</v>
      </c>
      <c r="F84" s="10">
        <v>25.99</v>
      </c>
      <c r="G84" s="9">
        <v>25.99</v>
      </c>
      <c r="H84" s="8" t="s">
        <v>3335</v>
      </c>
      <c r="I84" s="7" t="s">
        <v>3210</v>
      </c>
      <c r="J84" s="11" t="s">
        <v>3351</v>
      </c>
      <c r="K84" s="7" t="s">
        <v>3326</v>
      </c>
      <c r="L84" s="7" t="s">
        <v>3282</v>
      </c>
      <c r="M84" s="12" t="str">
        <f>HYPERLINK("http://slimages.macys.com/is/image/MCY/2877996 ")</f>
        <v xml:space="preserve">http://slimages.macys.com/is/image/MCY/2877996 </v>
      </c>
    </row>
    <row r="85" spans="1:13" ht="15.2" customHeight="1" x14ac:dyDescent="0.2">
      <c r="A85" s="6" t="s">
        <v>4081</v>
      </c>
      <c r="B85" s="7" t="s">
        <v>4082</v>
      </c>
      <c r="C85" s="8">
        <v>1</v>
      </c>
      <c r="D85" s="9">
        <v>11.95</v>
      </c>
      <c r="E85" s="9">
        <v>11.95</v>
      </c>
      <c r="F85" s="10">
        <v>29.99</v>
      </c>
      <c r="G85" s="9">
        <v>29.99</v>
      </c>
      <c r="H85" s="8" t="s">
        <v>4083</v>
      </c>
      <c r="I85" s="7" t="s">
        <v>3210</v>
      </c>
      <c r="J85" s="11" t="s">
        <v>3338</v>
      </c>
      <c r="K85" s="7" t="s">
        <v>3326</v>
      </c>
      <c r="L85" s="7" t="s">
        <v>3327</v>
      </c>
      <c r="M85" s="12" t="str">
        <f>HYPERLINK("http://slimages.macys.com/is/image/MCY/3825657 ")</f>
        <v xml:space="preserve">http://slimages.macys.com/is/image/MCY/3825657 </v>
      </c>
    </row>
    <row r="86" spans="1:13" ht="15.2" customHeight="1" x14ac:dyDescent="0.2">
      <c r="A86" s="6" t="s">
        <v>1989</v>
      </c>
      <c r="B86" s="7" t="s">
        <v>1990</v>
      </c>
      <c r="C86" s="8">
        <v>1</v>
      </c>
      <c r="D86" s="9">
        <v>11.89</v>
      </c>
      <c r="E86" s="9">
        <v>11.89</v>
      </c>
      <c r="F86" s="10">
        <v>27.99</v>
      </c>
      <c r="G86" s="9">
        <v>27.99</v>
      </c>
      <c r="H86" s="8" t="s">
        <v>3704</v>
      </c>
      <c r="I86" s="7" t="s">
        <v>3386</v>
      </c>
      <c r="J86" s="11" t="s">
        <v>3220</v>
      </c>
      <c r="K86" s="7" t="s">
        <v>3343</v>
      </c>
      <c r="L86" s="7" t="s">
        <v>3354</v>
      </c>
      <c r="M86" s="12" t="str">
        <f>HYPERLINK("http://slimages.macys.com/is/image/MCY/3910851 ")</f>
        <v xml:space="preserve">http://slimages.macys.com/is/image/MCY/3910851 </v>
      </c>
    </row>
    <row r="87" spans="1:13" ht="15.2" customHeight="1" x14ac:dyDescent="0.2">
      <c r="A87" s="6" t="s">
        <v>3891</v>
      </c>
      <c r="B87" s="7" t="s">
        <v>3892</v>
      </c>
      <c r="C87" s="8">
        <v>1</v>
      </c>
      <c r="D87" s="9">
        <v>11.89</v>
      </c>
      <c r="E87" s="9">
        <v>11.89</v>
      </c>
      <c r="F87" s="10">
        <v>27.99</v>
      </c>
      <c r="G87" s="9">
        <v>27.99</v>
      </c>
      <c r="H87" s="8" t="s">
        <v>3704</v>
      </c>
      <c r="I87" s="7" t="s">
        <v>3355</v>
      </c>
      <c r="J87" s="11" t="s">
        <v>3202</v>
      </c>
      <c r="K87" s="7" t="s">
        <v>3343</v>
      </c>
      <c r="L87" s="7" t="s">
        <v>3354</v>
      </c>
      <c r="M87" s="12" t="str">
        <f>HYPERLINK("http://slimages.macys.com/is/image/MCY/3910851 ")</f>
        <v xml:space="preserve">http://slimages.macys.com/is/image/MCY/3910851 </v>
      </c>
    </row>
    <row r="88" spans="1:13" ht="15.2" customHeight="1" x14ac:dyDescent="0.2">
      <c r="A88" s="6" t="s">
        <v>1600</v>
      </c>
      <c r="B88" s="7" t="s">
        <v>1601</v>
      </c>
      <c r="C88" s="8">
        <v>2</v>
      </c>
      <c r="D88" s="9">
        <v>11.89</v>
      </c>
      <c r="E88" s="9">
        <v>23.78</v>
      </c>
      <c r="F88" s="10">
        <v>27.99</v>
      </c>
      <c r="G88" s="9">
        <v>55.98</v>
      </c>
      <c r="H88" s="8" t="s">
        <v>3704</v>
      </c>
      <c r="I88" s="7" t="s">
        <v>3210</v>
      </c>
      <c r="J88" s="11" t="s">
        <v>3202</v>
      </c>
      <c r="K88" s="7" t="s">
        <v>3343</v>
      </c>
      <c r="L88" s="7" t="s">
        <v>3354</v>
      </c>
      <c r="M88" s="12" t="str">
        <f>HYPERLINK("http://slimages.macys.com/is/image/MCY/3910851 ")</f>
        <v xml:space="preserve">http://slimages.macys.com/is/image/MCY/3910851 </v>
      </c>
    </row>
    <row r="89" spans="1:13" ht="15.2" customHeight="1" x14ac:dyDescent="0.2">
      <c r="A89" s="6" t="s">
        <v>1602</v>
      </c>
      <c r="B89" s="7" t="s">
        <v>1603</v>
      </c>
      <c r="C89" s="8">
        <v>1</v>
      </c>
      <c r="D89" s="9">
        <v>11.89</v>
      </c>
      <c r="E89" s="9">
        <v>11.89</v>
      </c>
      <c r="F89" s="10">
        <v>27.99</v>
      </c>
      <c r="G89" s="9">
        <v>27.99</v>
      </c>
      <c r="H89" s="8" t="s">
        <v>3704</v>
      </c>
      <c r="I89" s="7" t="s">
        <v>3185</v>
      </c>
      <c r="J89" s="11" t="s">
        <v>3202</v>
      </c>
      <c r="K89" s="7" t="s">
        <v>3343</v>
      </c>
      <c r="L89" s="7" t="s">
        <v>3354</v>
      </c>
      <c r="M89" s="12" t="str">
        <f>HYPERLINK("http://slimages.macys.com/is/image/MCY/3910851 ")</f>
        <v xml:space="preserve">http://slimages.macys.com/is/image/MCY/3910851 </v>
      </c>
    </row>
    <row r="90" spans="1:13" ht="15.2" customHeight="1" x14ac:dyDescent="0.2">
      <c r="A90" s="6" t="s">
        <v>46</v>
      </c>
      <c r="B90" s="7" t="s">
        <v>47</v>
      </c>
      <c r="C90" s="8">
        <v>1</v>
      </c>
      <c r="D90" s="9">
        <v>11.8</v>
      </c>
      <c r="E90" s="9">
        <v>11.8</v>
      </c>
      <c r="F90" s="10">
        <v>39</v>
      </c>
      <c r="G90" s="9">
        <v>39</v>
      </c>
      <c r="H90" s="8" t="s">
        <v>2041</v>
      </c>
      <c r="I90" s="7" t="s">
        <v>3185</v>
      </c>
      <c r="J90" s="11" t="s">
        <v>3186</v>
      </c>
      <c r="K90" s="7" t="s">
        <v>3222</v>
      </c>
      <c r="L90" s="7" t="s">
        <v>3223</v>
      </c>
      <c r="M90" s="12" t="str">
        <f>HYPERLINK("http://slimages.macys.com/is/image/MCY/3777289 ")</f>
        <v xml:space="preserve">http://slimages.macys.com/is/image/MCY/3777289 </v>
      </c>
    </row>
    <row r="91" spans="1:13" ht="15.2" customHeight="1" x14ac:dyDescent="0.2">
      <c r="A91" s="6" t="s">
        <v>706</v>
      </c>
      <c r="B91" s="7" t="s">
        <v>707</v>
      </c>
      <c r="C91" s="8">
        <v>1</v>
      </c>
      <c r="D91" s="9">
        <v>11.65</v>
      </c>
      <c r="E91" s="9">
        <v>11.65</v>
      </c>
      <c r="F91" s="10">
        <v>27.99</v>
      </c>
      <c r="G91" s="9">
        <v>27.99</v>
      </c>
      <c r="H91" s="8" t="s">
        <v>3900</v>
      </c>
      <c r="I91" s="7" t="s">
        <v>3216</v>
      </c>
      <c r="J91" s="11" t="s">
        <v>3242</v>
      </c>
      <c r="K91" s="7" t="s">
        <v>3300</v>
      </c>
      <c r="L91" s="7" t="s">
        <v>3301</v>
      </c>
      <c r="M91" s="12" t="str">
        <f>HYPERLINK("http://slimages.macys.com/is/image/MCY/3870613 ")</f>
        <v xml:space="preserve">http://slimages.macys.com/is/image/MCY/3870613 </v>
      </c>
    </row>
    <row r="92" spans="1:13" ht="15.2" customHeight="1" x14ac:dyDescent="0.2">
      <c r="A92" s="6" t="s">
        <v>48</v>
      </c>
      <c r="B92" s="7" t="s">
        <v>49</v>
      </c>
      <c r="C92" s="8">
        <v>1</v>
      </c>
      <c r="D92" s="9">
        <v>11.5</v>
      </c>
      <c r="E92" s="9">
        <v>11.5</v>
      </c>
      <c r="F92" s="10">
        <v>29.99</v>
      </c>
      <c r="G92" s="9">
        <v>29.99</v>
      </c>
      <c r="H92" s="8" t="s">
        <v>3341</v>
      </c>
      <c r="I92" s="7" t="s">
        <v>3321</v>
      </c>
      <c r="J92" s="11" t="s">
        <v>3336</v>
      </c>
      <c r="K92" s="7" t="s">
        <v>3326</v>
      </c>
      <c r="L92" s="7" t="s">
        <v>3327</v>
      </c>
      <c r="M92" s="12" t="str">
        <f>HYPERLINK("http://slimages.macys.com/is/image/MCY/3899641 ")</f>
        <v xml:space="preserve">http://slimages.macys.com/is/image/MCY/3899641 </v>
      </c>
    </row>
    <row r="93" spans="1:13" ht="15.2" customHeight="1" x14ac:dyDescent="0.2">
      <c r="A93" s="6" t="s">
        <v>50</v>
      </c>
      <c r="B93" s="7" t="s">
        <v>51</v>
      </c>
      <c r="C93" s="8">
        <v>1</v>
      </c>
      <c r="D93" s="9">
        <v>11.5</v>
      </c>
      <c r="E93" s="9">
        <v>11.5</v>
      </c>
      <c r="F93" s="10">
        <v>39</v>
      </c>
      <c r="G93" s="9">
        <v>39</v>
      </c>
      <c r="H93" s="8" t="s">
        <v>3707</v>
      </c>
      <c r="I93" s="7" t="s">
        <v>3185</v>
      </c>
      <c r="J93" s="11" t="s">
        <v>3220</v>
      </c>
      <c r="K93" s="7" t="s">
        <v>3295</v>
      </c>
      <c r="L93" s="7" t="s">
        <v>3296</v>
      </c>
      <c r="M93" s="12" t="str">
        <f>HYPERLINK("http://slimages.macys.com/is/image/MCY/3907587 ")</f>
        <v xml:space="preserve">http://slimages.macys.com/is/image/MCY/3907587 </v>
      </c>
    </row>
    <row r="94" spans="1:13" ht="15.2" customHeight="1" x14ac:dyDescent="0.2">
      <c r="A94" s="6" t="s">
        <v>52</v>
      </c>
      <c r="B94" s="7" t="s">
        <v>53</v>
      </c>
      <c r="C94" s="8">
        <v>1</v>
      </c>
      <c r="D94" s="9">
        <v>11.5</v>
      </c>
      <c r="E94" s="9">
        <v>11.5</v>
      </c>
      <c r="F94" s="10">
        <v>39</v>
      </c>
      <c r="G94" s="9">
        <v>39</v>
      </c>
      <c r="H94" s="8" t="s">
        <v>54</v>
      </c>
      <c r="I94" s="7" t="s">
        <v>3252</v>
      </c>
      <c r="J94" s="11" t="s">
        <v>3236</v>
      </c>
      <c r="K94" s="7" t="s">
        <v>3295</v>
      </c>
      <c r="L94" s="7" t="s">
        <v>3296</v>
      </c>
      <c r="M94" s="12" t="str">
        <f>HYPERLINK("http://slimages.macys.com/is/image/MCY/3912606 ")</f>
        <v xml:space="preserve">http://slimages.macys.com/is/image/MCY/3912606 </v>
      </c>
    </row>
    <row r="95" spans="1:13" ht="15.2" customHeight="1" x14ac:dyDescent="0.2">
      <c r="A95" s="6" t="s">
        <v>55</v>
      </c>
      <c r="B95" s="7" t="s">
        <v>56</v>
      </c>
      <c r="C95" s="8">
        <v>1</v>
      </c>
      <c r="D95" s="9">
        <v>11.5</v>
      </c>
      <c r="E95" s="9">
        <v>11.5</v>
      </c>
      <c r="F95" s="10">
        <v>27.99</v>
      </c>
      <c r="G95" s="9">
        <v>27.99</v>
      </c>
      <c r="H95" s="8" t="s">
        <v>3342</v>
      </c>
      <c r="I95" s="7" t="s">
        <v>3234</v>
      </c>
      <c r="J95" s="11" t="s">
        <v>3242</v>
      </c>
      <c r="K95" s="7" t="s">
        <v>3343</v>
      </c>
      <c r="L95" s="7" t="s">
        <v>3344</v>
      </c>
      <c r="M95" s="12" t="str">
        <f>HYPERLINK("http://slimages.macys.com/is/image/MCY/3777812 ")</f>
        <v xml:space="preserve">http://slimages.macys.com/is/image/MCY/3777812 </v>
      </c>
    </row>
    <row r="96" spans="1:13" ht="15.2" customHeight="1" x14ac:dyDescent="0.2">
      <c r="A96" s="6" t="s">
        <v>57</v>
      </c>
      <c r="B96" s="7" t="s">
        <v>58</v>
      </c>
      <c r="C96" s="8">
        <v>1</v>
      </c>
      <c r="D96" s="9">
        <v>11.5</v>
      </c>
      <c r="E96" s="9">
        <v>11.5</v>
      </c>
      <c r="F96" s="10">
        <v>22.99</v>
      </c>
      <c r="G96" s="9">
        <v>22.99</v>
      </c>
      <c r="H96" s="8" t="s">
        <v>1604</v>
      </c>
      <c r="I96" s="7" t="s">
        <v>3189</v>
      </c>
      <c r="J96" s="11" t="s">
        <v>3231</v>
      </c>
      <c r="K96" s="7" t="s">
        <v>3326</v>
      </c>
      <c r="L96" s="7" t="s">
        <v>3550</v>
      </c>
      <c r="M96" s="12" t="str">
        <f>HYPERLINK("http://slimages.macys.com/is/image/MCY/3954124 ")</f>
        <v xml:space="preserve">http://slimages.macys.com/is/image/MCY/3954124 </v>
      </c>
    </row>
    <row r="97" spans="1:13" ht="15.2" customHeight="1" x14ac:dyDescent="0.2">
      <c r="A97" s="6" t="s">
        <v>2670</v>
      </c>
      <c r="B97" s="7" t="s">
        <v>2671</v>
      </c>
      <c r="C97" s="8">
        <v>1</v>
      </c>
      <c r="D97" s="9">
        <v>11.5</v>
      </c>
      <c r="E97" s="9">
        <v>11.5</v>
      </c>
      <c r="F97" s="10">
        <v>29.99</v>
      </c>
      <c r="G97" s="9">
        <v>29.99</v>
      </c>
      <c r="H97" s="8" t="s">
        <v>3350</v>
      </c>
      <c r="I97" s="7" t="s">
        <v>3185</v>
      </c>
      <c r="J97" s="11" t="s">
        <v>3338</v>
      </c>
      <c r="K97" s="7" t="s">
        <v>3326</v>
      </c>
      <c r="L97" s="7" t="s">
        <v>3327</v>
      </c>
      <c r="M97" s="12" t="str">
        <f>HYPERLINK("http://slimages.macys.com/is/image/MCY/3899544 ")</f>
        <v xml:space="preserve">http://slimages.macys.com/is/image/MCY/3899544 </v>
      </c>
    </row>
    <row r="98" spans="1:13" ht="15.2" customHeight="1" x14ac:dyDescent="0.2">
      <c r="A98" s="6" t="s">
        <v>59</v>
      </c>
      <c r="B98" s="7" t="s">
        <v>60</v>
      </c>
      <c r="C98" s="8">
        <v>1</v>
      </c>
      <c r="D98" s="9">
        <v>11.25</v>
      </c>
      <c r="E98" s="9">
        <v>11.25</v>
      </c>
      <c r="F98" s="10">
        <v>25.99</v>
      </c>
      <c r="G98" s="9">
        <v>25.99</v>
      </c>
      <c r="H98" s="8" t="s">
        <v>708</v>
      </c>
      <c r="I98" s="7" t="s">
        <v>3185</v>
      </c>
      <c r="J98" s="11" t="s">
        <v>3204</v>
      </c>
      <c r="K98" s="7" t="s">
        <v>3326</v>
      </c>
      <c r="L98" s="7" t="s">
        <v>3550</v>
      </c>
      <c r="M98" s="12" t="str">
        <f>HYPERLINK("http://slimages.macys.com/is/image/MCY/3755250 ")</f>
        <v xml:space="preserve">http://slimages.macys.com/is/image/MCY/3755250 </v>
      </c>
    </row>
    <row r="99" spans="1:13" ht="15.2" customHeight="1" x14ac:dyDescent="0.2">
      <c r="A99" s="6" t="s">
        <v>61</v>
      </c>
      <c r="B99" s="7" t="s">
        <v>62</v>
      </c>
      <c r="C99" s="8">
        <v>1</v>
      </c>
      <c r="D99" s="9">
        <v>10.76</v>
      </c>
      <c r="E99" s="9">
        <v>10.76</v>
      </c>
      <c r="F99" s="10">
        <v>29.5</v>
      </c>
      <c r="G99" s="9">
        <v>29.5</v>
      </c>
      <c r="H99" s="8" t="s">
        <v>2684</v>
      </c>
      <c r="I99" s="7" t="s">
        <v>3203</v>
      </c>
      <c r="J99" s="11" t="s">
        <v>3242</v>
      </c>
      <c r="K99" s="7" t="s">
        <v>3221</v>
      </c>
      <c r="L99" s="7" t="s">
        <v>3224</v>
      </c>
      <c r="M99" s="12" t="str">
        <f>HYPERLINK("http://slimages.macys.com/is/image/MCY/3700884 ")</f>
        <v xml:space="preserve">http://slimages.macys.com/is/image/MCY/3700884 </v>
      </c>
    </row>
    <row r="100" spans="1:13" ht="15.2" customHeight="1" x14ac:dyDescent="0.2">
      <c r="A100" s="6" t="s">
        <v>63</v>
      </c>
      <c r="B100" s="7" t="s">
        <v>64</v>
      </c>
      <c r="C100" s="8">
        <v>1</v>
      </c>
      <c r="D100" s="9">
        <v>10.6</v>
      </c>
      <c r="E100" s="9">
        <v>10.6</v>
      </c>
      <c r="F100" s="10">
        <v>24.99</v>
      </c>
      <c r="G100" s="9">
        <v>24.99</v>
      </c>
      <c r="H100" s="8" t="s">
        <v>2241</v>
      </c>
      <c r="I100" s="7" t="s">
        <v>3386</v>
      </c>
      <c r="J100" s="11" t="s">
        <v>3231</v>
      </c>
      <c r="K100" s="7" t="s">
        <v>3334</v>
      </c>
      <c r="L100" s="7" t="s">
        <v>3324</v>
      </c>
      <c r="M100" s="12" t="str">
        <f>HYPERLINK("http://slimages.macys.com/is/image/MCY/3832165 ")</f>
        <v xml:space="preserve">http://slimages.macys.com/is/image/MCY/3832165 </v>
      </c>
    </row>
    <row r="101" spans="1:13" ht="15.2" customHeight="1" x14ac:dyDescent="0.2">
      <c r="A101" s="6" t="s">
        <v>3361</v>
      </c>
      <c r="B101" s="7" t="s">
        <v>3362</v>
      </c>
      <c r="C101" s="8">
        <v>1</v>
      </c>
      <c r="D101" s="9">
        <v>10.6</v>
      </c>
      <c r="E101" s="9">
        <v>10.6</v>
      </c>
      <c r="F101" s="10">
        <v>24.99</v>
      </c>
      <c r="G101" s="9">
        <v>24.99</v>
      </c>
      <c r="H101" s="8" t="s">
        <v>3363</v>
      </c>
      <c r="I101" s="7" t="s">
        <v>3364</v>
      </c>
      <c r="J101" s="11" t="s">
        <v>3186</v>
      </c>
      <c r="K101" s="7" t="s">
        <v>3334</v>
      </c>
      <c r="L101" s="7" t="s">
        <v>3324</v>
      </c>
      <c r="M101" s="12" t="str">
        <f>HYPERLINK("http://slimages.macys.com/is/image/MCY/3899669 ")</f>
        <v xml:space="preserve">http://slimages.macys.com/is/image/MCY/3899669 </v>
      </c>
    </row>
    <row r="102" spans="1:13" ht="15.2" customHeight="1" x14ac:dyDescent="0.2">
      <c r="A102" s="6" t="s">
        <v>1795</v>
      </c>
      <c r="B102" s="7" t="s">
        <v>1796</v>
      </c>
      <c r="C102" s="8">
        <v>1</v>
      </c>
      <c r="D102" s="9">
        <v>10.5</v>
      </c>
      <c r="E102" s="9">
        <v>10.5</v>
      </c>
      <c r="F102" s="10">
        <v>24.99</v>
      </c>
      <c r="G102" s="9">
        <v>24.99</v>
      </c>
      <c r="H102" s="8" t="s">
        <v>3370</v>
      </c>
      <c r="I102" s="7" t="s">
        <v>3219</v>
      </c>
      <c r="J102" s="11" t="s">
        <v>3186</v>
      </c>
      <c r="K102" s="7" t="s">
        <v>3343</v>
      </c>
      <c r="L102" s="7" t="s">
        <v>3371</v>
      </c>
      <c r="M102" s="12" t="str">
        <f>HYPERLINK("http://slimages.macys.com/is/image/MCY/3832935 ")</f>
        <v xml:space="preserve">http://slimages.macys.com/is/image/MCY/3832935 </v>
      </c>
    </row>
    <row r="103" spans="1:13" ht="15.2" customHeight="1" x14ac:dyDescent="0.2">
      <c r="A103" s="6" t="s">
        <v>3918</v>
      </c>
      <c r="B103" s="7" t="s">
        <v>3919</v>
      </c>
      <c r="C103" s="8">
        <v>1</v>
      </c>
      <c r="D103" s="9">
        <v>10.5</v>
      </c>
      <c r="E103" s="9">
        <v>10.5</v>
      </c>
      <c r="F103" s="10">
        <v>27.99</v>
      </c>
      <c r="G103" s="9">
        <v>27.99</v>
      </c>
      <c r="H103" s="8" t="s">
        <v>3711</v>
      </c>
      <c r="I103" s="7" t="s">
        <v>3321</v>
      </c>
      <c r="J103" s="11" t="s">
        <v>3186</v>
      </c>
      <c r="K103" s="7" t="s">
        <v>3343</v>
      </c>
      <c r="L103" s="7" t="s">
        <v>3356</v>
      </c>
      <c r="M103" s="12" t="str">
        <f>HYPERLINK("http://slimages.macys.com/is/image/MCY/3910853 ")</f>
        <v xml:space="preserve">http://slimages.macys.com/is/image/MCY/3910853 </v>
      </c>
    </row>
    <row r="104" spans="1:13" ht="15.2" customHeight="1" x14ac:dyDescent="0.2">
      <c r="A104" s="6" t="s">
        <v>65</v>
      </c>
      <c r="B104" s="7" t="s">
        <v>66</v>
      </c>
      <c r="C104" s="8">
        <v>1</v>
      </c>
      <c r="D104" s="9">
        <v>10.49</v>
      </c>
      <c r="E104" s="9">
        <v>10.49</v>
      </c>
      <c r="F104" s="10">
        <v>29.5</v>
      </c>
      <c r="G104" s="9">
        <v>29.5</v>
      </c>
      <c r="H104" s="8" t="s">
        <v>3372</v>
      </c>
      <c r="I104" s="7" t="s">
        <v>3207</v>
      </c>
      <c r="J104" s="11" t="s">
        <v>3202</v>
      </c>
      <c r="K104" s="7" t="s">
        <v>3232</v>
      </c>
      <c r="L104" s="7" t="s">
        <v>3306</v>
      </c>
      <c r="M104" s="12" t="str">
        <f>HYPERLINK("http://slimages.macys.com/is/image/MCY/3789872 ")</f>
        <v xml:space="preserve">http://slimages.macys.com/is/image/MCY/3789872 </v>
      </c>
    </row>
    <row r="105" spans="1:13" ht="15.2" customHeight="1" x14ac:dyDescent="0.2">
      <c r="A105" s="6" t="s">
        <v>2245</v>
      </c>
      <c r="B105" s="7" t="s">
        <v>2246</v>
      </c>
      <c r="C105" s="8">
        <v>1</v>
      </c>
      <c r="D105" s="9">
        <v>10.49</v>
      </c>
      <c r="E105" s="9">
        <v>10.49</v>
      </c>
      <c r="F105" s="10">
        <v>29.5</v>
      </c>
      <c r="G105" s="9">
        <v>29.5</v>
      </c>
      <c r="H105" s="8" t="s">
        <v>3372</v>
      </c>
      <c r="I105" s="7" t="s">
        <v>3185</v>
      </c>
      <c r="J105" s="11" t="s">
        <v>3220</v>
      </c>
      <c r="K105" s="7" t="s">
        <v>3232</v>
      </c>
      <c r="L105" s="7" t="s">
        <v>3306</v>
      </c>
      <c r="M105" s="12" t="str">
        <f>HYPERLINK("http://slimages.macys.com/is/image/MCY/3789872 ")</f>
        <v xml:space="preserve">http://slimages.macys.com/is/image/MCY/3789872 </v>
      </c>
    </row>
    <row r="106" spans="1:13" ht="15.2" customHeight="1" x14ac:dyDescent="0.2">
      <c r="A106" s="6" t="s">
        <v>3927</v>
      </c>
      <c r="B106" s="7" t="s">
        <v>3928</v>
      </c>
      <c r="C106" s="8">
        <v>1</v>
      </c>
      <c r="D106" s="9">
        <v>10.49</v>
      </c>
      <c r="E106" s="9">
        <v>10.49</v>
      </c>
      <c r="F106" s="10">
        <v>29.5</v>
      </c>
      <c r="G106" s="9">
        <v>29.5</v>
      </c>
      <c r="H106" s="8" t="s">
        <v>3372</v>
      </c>
      <c r="I106" s="7" t="s">
        <v>3185</v>
      </c>
      <c r="J106" s="11" t="s">
        <v>3186</v>
      </c>
      <c r="K106" s="7" t="s">
        <v>3232</v>
      </c>
      <c r="L106" s="7" t="s">
        <v>3306</v>
      </c>
      <c r="M106" s="12" t="str">
        <f>HYPERLINK("http://slimages.macys.com/is/image/MCY/3789872 ")</f>
        <v xml:space="preserve">http://slimages.macys.com/is/image/MCY/3789872 </v>
      </c>
    </row>
    <row r="107" spans="1:13" ht="15.2" customHeight="1" x14ac:dyDescent="0.2">
      <c r="A107" s="6" t="s">
        <v>1608</v>
      </c>
      <c r="B107" s="7" t="s">
        <v>1609</v>
      </c>
      <c r="C107" s="8">
        <v>1</v>
      </c>
      <c r="D107" s="9">
        <v>10.49</v>
      </c>
      <c r="E107" s="9">
        <v>10.49</v>
      </c>
      <c r="F107" s="10">
        <v>29.5</v>
      </c>
      <c r="G107" s="9">
        <v>29.5</v>
      </c>
      <c r="H107" s="8" t="s">
        <v>3372</v>
      </c>
      <c r="I107" s="7" t="s">
        <v>3185</v>
      </c>
      <c r="J107" s="11" t="s">
        <v>3242</v>
      </c>
      <c r="K107" s="7" t="s">
        <v>3232</v>
      </c>
      <c r="L107" s="7" t="s">
        <v>3306</v>
      </c>
      <c r="M107" s="12" t="str">
        <f>HYPERLINK("http://slimages.macys.com/is/image/MCY/3789872 ")</f>
        <v xml:space="preserve">http://slimages.macys.com/is/image/MCY/3789872 </v>
      </c>
    </row>
    <row r="108" spans="1:13" ht="15.2" customHeight="1" x14ac:dyDescent="0.2">
      <c r="A108" s="6" t="s">
        <v>319</v>
      </c>
      <c r="B108" s="7" t="s">
        <v>320</v>
      </c>
      <c r="C108" s="8">
        <v>1</v>
      </c>
      <c r="D108" s="9">
        <v>10.49</v>
      </c>
      <c r="E108" s="9">
        <v>10.49</v>
      </c>
      <c r="F108" s="10">
        <v>29.5</v>
      </c>
      <c r="G108" s="9">
        <v>29.5</v>
      </c>
      <c r="H108" s="8" t="s">
        <v>3372</v>
      </c>
      <c r="I108" s="7" t="s">
        <v>3207</v>
      </c>
      <c r="J108" s="11" t="s">
        <v>3186</v>
      </c>
      <c r="K108" s="7" t="s">
        <v>3232</v>
      </c>
      <c r="L108" s="7" t="s">
        <v>3306</v>
      </c>
      <c r="M108" s="12" t="str">
        <f>HYPERLINK("http://slimages.macys.com/is/image/MCY/3789872 ")</f>
        <v xml:space="preserve">http://slimages.macys.com/is/image/MCY/3789872 </v>
      </c>
    </row>
    <row r="109" spans="1:13" ht="15.2" customHeight="1" x14ac:dyDescent="0.2">
      <c r="A109" s="6" t="s">
        <v>2249</v>
      </c>
      <c r="B109" s="7" t="s">
        <v>2250</v>
      </c>
      <c r="C109" s="8">
        <v>1</v>
      </c>
      <c r="D109" s="9">
        <v>10.4</v>
      </c>
      <c r="E109" s="9">
        <v>10.4</v>
      </c>
      <c r="F109" s="10">
        <v>24.99</v>
      </c>
      <c r="G109" s="9">
        <v>24.99</v>
      </c>
      <c r="H109" s="8" t="s">
        <v>3375</v>
      </c>
      <c r="I109" s="7" t="s">
        <v>3364</v>
      </c>
      <c r="J109" s="11" t="s">
        <v>3202</v>
      </c>
      <c r="K109" s="7" t="s">
        <v>3334</v>
      </c>
      <c r="L109" s="7" t="s">
        <v>3324</v>
      </c>
      <c r="M109" s="12" t="str">
        <f>HYPERLINK("http://slimages.macys.com/is/image/MCY/3883081 ")</f>
        <v xml:space="preserve">http://slimages.macys.com/is/image/MCY/3883081 </v>
      </c>
    </row>
    <row r="110" spans="1:13" ht="15.2" customHeight="1" x14ac:dyDescent="0.2">
      <c r="A110" s="6" t="s">
        <v>2247</v>
      </c>
      <c r="B110" s="7" t="s">
        <v>2248</v>
      </c>
      <c r="C110" s="8">
        <v>1</v>
      </c>
      <c r="D110" s="9">
        <v>10.4</v>
      </c>
      <c r="E110" s="9">
        <v>10.4</v>
      </c>
      <c r="F110" s="10">
        <v>24.99</v>
      </c>
      <c r="G110" s="9">
        <v>24.99</v>
      </c>
      <c r="H110" s="8" t="s">
        <v>3375</v>
      </c>
      <c r="I110" s="7" t="s">
        <v>3364</v>
      </c>
      <c r="J110" s="11" t="s">
        <v>3186</v>
      </c>
      <c r="K110" s="7" t="s">
        <v>3334</v>
      </c>
      <c r="L110" s="7" t="s">
        <v>3324</v>
      </c>
      <c r="M110" s="12" t="str">
        <f>HYPERLINK("http://slimages.macys.com/is/image/MCY/3883081 ")</f>
        <v xml:space="preserve">http://slimages.macys.com/is/image/MCY/3883081 </v>
      </c>
    </row>
    <row r="111" spans="1:13" ht="15.2" customHeight="1" x14ac:dyDescent="0.2">
      <c r="A111" s="6" t="s">
        <v>67</v>
      </c>
      <c r="B111" s="7" t="s">
        <v>68</v>
      </c>
      <c r="C111" s="8">
        <v>1</v>
      </c>
      <c r="D111" s="9">
        <v>10.199999999999999</v>
      </c>
      <c r="E111" s="9">
        <v>10.199999999999999</v>
      </c>
      <c r="F111" s="10">
        <v>22.99</v>
      </c>
      <c r="G111" s="9">
        <v>22.99</v>
      </c>
      <c r="H111" s="8" t="s">
        <v>3715</v>
      </c>
      <c r="I111" s="7" t="s">
        <v>3216</v>
      </c>
      <c r="J111" s="11" t="s">
        <v>3186</v>
      </c>
      <c r="K111" s="7" t="s">
        <v>3334</v>
      </c>
      <c r="L111" s="7" t="s">
        <v>3324</v>
      </c>
      <c r="M111" s="12" t="str">
        <f>HYPERLINK("http://slimages.macys.com/is/image/MCY/3732584 ")</f>
        <v xml:space="preserve">http://slimages.macys.com/is/image/MCY/3732584 </v>
      </c>
    </row>
    <row r="112" spans="1:13" ht="15.2" customHeight="1" x14ac:dyDescent="0.2">
      <c r="A112" s="6" t="s">
        <v>1610</v>
      </c>
      <c r="B112" s="7" t="s">
        <v>1611</v>
      </c>
      <c r="C112" s="8">
        <v>1</v>
      </c>
      <c r="D112" s="9">
        <v>10</v>
      </c>
      <c r="E112" s="9">
        <v>10</v>
      </c>
      <c r="F112" s="10">
        <v>24.99</v>
      </c>
      <c r="G112" s="9">
        <v>24.99</v>
      </c>
      <c r="H112" s="8" t="s">
        <v>3380</v>
      </c>
      <c r="I112" s="7" t="s">
        <v>3246</v>
      </c>
      <c r="J112" s="11" t="s">
        <v>3186</v>
      </c>
      <c r="K112" s="7" t="s">
        <v>3343</v>
      </c>
      <c r="L112" s="7" t="s">
        <v>3371</v>
      </c>
      <c r="M112" s="12" t="str">
        <f t="shared" ref="M112:M118" si="1">HYPERLINK("http://slimages.macys.com/is/image/MCY/3931167 ")</f>
        <v xml:space="preserve">http://slimages.macys.com/is/image/MCY/3931167 </v>
      </c>
    </row>
    <row r="113" spans="1:13" ht="15.2" customHeight="1" x14ac:dyDescent="0.2">
      <c r="A113" s="6" t="s">
        <v>1241</v>
      </c>
      <c r="B113" s="7" t="s">
        <v>1242</v>
      </c>
      <c r="C113" s="8">
        <v>1</v>
      </c>
      <c r="D113" s="9">
        <v>10</v>
      </c>
      <c r="E113" s="9">
        <v>10</v>
      </c>
      <c r="F113" s="10">
        <v>24.99</v>
      </c>
      <c r="G113" s="9">
        <v>24.99</v>
      </c>
      <c r="H113" s="8" t="s">
        <v>3380</v>
      </c>
      <c r="I113" s="7" t="s">
        <v>3246</v>
      </c>
      <c r="J113" s="11" t="s">
        <v>3220</v>
      </c>
      <c r="K113" s="7" t="s">
        <v>3343</v>
      </c>
      <c r="L113" s="7" t="s">
        <v>3371</v>
      </c>
      <c r="M113" s="12" t="str">
        <f t="shared" si="1"/>
        <v xml:space="preserve">http://slimages.macys.com/is/image/MCY/3931167 </v>
      </c>
    </row>
    <row r="114" spans="1:13" ht="15.2" customHeight="1" x14ac:dyDescent="0.2">
      <c r="A114" s="6" t="s">
        <v>69</v>
      </c>
      <c r="B114" s="7" t="s">
        <v>70</v>
      </c>
      <c r="C114" s="8">
        <v>2</v>
      </c>
      <c r="D114" s="9">
        <v>10</v>
      </c>
      <c r="E114" s="9">
        <v>20</v>
      </c>
      <c r="F114" s="10">
        <v>24.99</v>
      </c>
      <c r="G114" s="9">
        <v>49.98</v>
      </c>
      <c r="H114" s="8" t="s">
        <v>3380</v>
      </c>
      <c r="I114" s="7" t="s">
        <v>3382</v>
      </c>
      <c r="J114" s="11" t="s">
        <v>3202</v>
      </c>
      <c r="K114" s="7" t="s">
        <v>3343</v>
      </c>
      <c r="L114" s="7" t="s">
        <v>3371</v>
      </c>
      <c r="M114" s="12" t="str">
        <f t="shared" si="1"/>
        <v xml:space="preserve">http://slimages.macys.com/is/image/MCY/3931167 </v>
      </c>
    </row>
    <row r="115" spans="1:13" ht="15.2" customHeight="1" x14ac:dyDescent="0.2">
      <c r="A115" s="6" t="s">
        <v>2388</v>
      </c>
      <c r="B115" s="7" t="s">
        <v>2389</v>
      </c>
      <c r="C115" s="8">
        <v>1</v>
      </c>
      <c r="D115" s="9">
        <v>10</v>
      </c>
      <c r="E115" s="9">
        <v>10</v>
      </c>
      <c r="F115" s="10">
        <v>24.99</v>
      </c>
      <c r="G115" s="9">
        <v>24.99</v>
      </c>
      <c r="H115" s="8" t="s">
        <v>3380</v>
      </c>
      <c r="I115" s="7" t="s">
        <v>3246</v>
      </c>
      <c r="J115" s="11" t="s">
        <v>3242</v>
      </c>
      <c r="K115" s="7" t="s">
        <v>3343</v>
      </c>
      <c r="L115" s="7" t="s">
        <v>3371</v>
      </c>
      <c r="M115" s="12" t="str">
        <f t="shared" si="1"/>
        <v xml:space="preserve">http://slimages.macys.com/is/image/MCY/3931167 </v>
      </c>
    </row>
    <row r="116" spans="1:13" ht="15.2" customHeight="1" x14ac:dyDescent="0.2">
      <c r="A116" s="6" t="s">
        <v>3929</v>
      </c>
      <c r="B116" s="7" t="s">
        <v>3930</v>
      </c>
      <c r="C116" s="8">
        <v>2</v>
      </c>
      <c r="D116" s="9">
        <v>10</v>
      </c>
      <c r="E116" s="9">
        <v>20</v>
      </c>
      <c r="F116" s="10">
        <v>24.99</v>
      </c>
      <c r="G116" s="9">
        <v>49.98</v>
      </c>
      <c r="H116" s="8" t="s">
        <v>3380</v>
      </c>
      <c r="I116" s="7" t="s">
        <v>3185</v>
      </c>
      <c r="J116" s="11" t="s">
        <v>3186</v>
      </c>
      <c r="K116" s="7" t="s">
        <v>3343</v>
      </c>
      <c r="L116" s="7" t="s">
        <v>3371</v>
      </c>
      <c r="M116" s="12" t="str">
        <f t="shared" si="1"/>
        <v xml:space="preserve">http://slimages.macys.com/is/image/MCY/3931167 </v>
      </c>
    </row>
    <row r="117" spans="1:13" ht="15.2" customHeight="1" x14ac:dyDescent="0.2">
      <c r="A117" s="6" t="s">
        <v>2722</v>
      </c>
      <c r="B117" s="7" t="s">
        <v>2723</v>
      </c>
      <c r="C117" s="8">
        <v>2</v>
      </c>
      <c r="D117" s="9">
        <v>10</v>
      </c>
      <c r="E117" s="9">
        <v>20</v>
      </c>
      <c r="F117" s="10">
        <v>24.99</v>
      </c>
      <c r="G117" s="9">
        <v>49.98</v>
      </c>
      <c r="H117" s="8" t="s">
        <v>3380</v>
      </c>
      <c r="I117" s="7" t="s">
        <v>3382</v>
      </c>
      <c r="J117" s="11" t="s">
        <v>3186</v>
      </c>
      <c r="K117" s="7" t="s">
        <v>3343</v>
      </c>
      <c r="L117" s="7" t="s">
        <v>3371</v>
      </c>
      <c r="M117" s="12" t="str">
        <f t="shared" si="1"/>
        <v xml:space="preserve">http://slimages.macys.com/is/image/MCY/3931167 </v>
      </c>
    </row>
    <row r="118" spans="1:13" ht="15.2" customHeight="1" x14ac:dyDescent="0.2">
      <c r="A118" s="6" t="s">
        <v>1148</v>
      </c>
      <c r="B118" s="7" t="s">
        <v>1149</v>
      </c>
      <c r="C118" s="8">
        <v>1</v>
      </c>
      <c r="D118" s="9">
        <v>10</v>
      </c>
      <c r="E118" s="9">
        <v>10</v>
      </c>
      <c r="F118" s="10">
        <v>24.99</v>
      </c>
      <c r="G118" s="9">
        <v>24.99</v>
      </c>
      <c r="H118" s="8" t="s">
        <v>3380</v>
      </c>
      <c r="I118" s="7" t="s">
        <v>3381</v>
      </c>
      <c r="J118" s="11" t="s">
        <v>3202</v>
      </c>
      <c r="K118" s="7" t="s">
        <v>3343</v>
      </c>
      <c r="L118" s="7" t="s">
        <v>3371</v>
      </c>
      <c r="M118" s="12" t="str">
        <f t="shared" si="1"/>
        <v xml:space="preserve">http://slimages.macys.com/is/image/MCY/3931167 </v>
      </c>
    </row>
    <row r="119" spans="1:13" ht="15.2" customHeight="1" x14ac:dyDescent="0.2">
      <c r="A119" s="6" t="s">
        <v>71</v>
      </c>
      <c r="B119" s="7" t="s">
        <v>72</v>
      </c>
      <c r="C119" s="8">
        <v>1</v>
      </c>
      <c r="D119" s="9">
        <v>9.65</v>
      </c>
      <c r="E119" s="9">
        <v>9.65</v>
      </c>
      <c r="F119" s="10">
        <v>27.99</v>
      </c>
      <c r="G119" s="9">
        <v>27.99</v>
      </c>
      <c r="H119" s="8" t="s">
        <v>3385</v>
      </c>
      <c r="I119" s="7" t="s">
        <v>3386</v>
      </c>
      <c r="J119" s="11" t="s">
        <v>3220</v>
      </c>
      <c r="K119" s="7" t="s">
        <v>3343</v>
      </c>
      <c r="L119" s="7" t="s">
        <v>3354</v>
      </c>
      <c r="M119" s="12" t="str">
        <f>HYPERLINK("http://slimages.macys.com/is/image/MCY/3820978 ")</f>
        <v xml:space="preserve">http://slimages.macys.com/is/image/MCY/3820978 </v>
      </c>
    </row>
    <row r="120" spans="1:13" ht="15.2" customHeight="1" x14ac:dyDescent="0.2">
      <c r="A120" s="6" t="s">
        <v>2392</v>
      </c>
      <c r="B120" s="7" t="s">
        <v>2393</v>
      </c>
      <c r="C120" s="8">
        <v>1</v>
      </c>
      <c r="D120" s="9">
        <v>9.5</v>
      </c>
      <c r="E120" s="9">
        <v>9.5</v>
      </c>
      <c r="F120" s="10">
        <v>24.99</v>
      </c>
      <c r="G120" s="9">
        <v>24.99</v>
      </c>
      <c r="H120" s="8" t="s">
        <v>3392</v>
      </c>
      <c r="I120" s="7" t="s">
        <v>3237</v>
      </c>
      <c r="J120" s="11" t="s">
        <v>3220</v>
      </c>
      <c r="K120" s="7" t="s">
        <v>3343</v>
      </c>
      <c r="L120" s="7" t="s">
        <v>3356</v>
      </c>
      <c r="M120" s="12" t="str">
        <f>HYPERLINK("http://slimages.macys.com/is/image/MCY/3719840 ")</f>
        <v xml:space="preserve">http://slimages.macys.com/is/image/MCY/3719840 </v>
      </c>
    </row>
    <row r="121" spans="1:13" ht="15.2" customHeight="1" x14ac:dyDescent="0.2">
      <c r="A121" s="6" t="s">
        <v>73</v>
      </c>
      <c r="B121" s="7" t="s">
        <v>74</v>
      </c>
      <c r="C121" s="8">
        <v>4</v>
      </c>
      <c r="D121" s="9">
        <v>9.25</v>
      </c>
      <c r="E121" s="9">
        <v>37</v>
      </c>
      <c r="F121" s="10">
        <v>19.989999999999998</v>
      </c>
      <c r="G121" s="9">
        <v>79.959999999999994</v>
      </c>
      <c r="H121" s="8" t="s">
        <v>2396</v>
      </c>
      <c r="I121" s="7" t="s">
        <v>3203</v>
      </c>
      <c r="J121" s="11" t="s">
        <v>3202</v>
      </c>
      <c r="K121" s="7" t="s">
        <v>3387</v>
      </c>
      <c r="L121" s="7" t="s">
        <v>3388</v>
      </c>
      <c r="M121" s="12" t="str">
        <f>HYPERLINK("http://slimages.macys.com/is/image/MCY/3875951 ")</f>
        <v xml:space="preserve">http://slimages.macys.com/is/image/MCY/3875951 </v>
      </c>
    </row>
    <row r="122" spans="1:13" ht="15.2" customHeight="1" x14ac:dyDescent="0.2">
      <c r="A122" s="6" t="s">
        <v>2397</v>
      </c>
      <c r="B122" s="7" t="s">
        <v>2398</v>
      </c>
      <c r="C122" s="8">
        <v>2</v>
      </c>
      <c r="D122" s="9">
        <v>9.25</v>
      </c>
      <c r="E122" s="9">
        <v>18.5</v>
      </c>
      <c r="F122" s="10">
        <v>19.989999999999998</v>
      </c>
      <c r="G122" s="9">
        <v>39.979999999999997</v>
      </c>
      <c r="H122" s="8" t="s">
        <v>2396</v>
      </c>
      <c r="I122" s="7" t="s">
        <v>3203</v>
      </c>
      <c r="J122" s="11" t="s">
        <v>3186</v>
      </c>
      <c r="K122" s="7" t="s">
        <v>3387</v>
      </c>
      <c r="L122" s="7" t="s">
        <v>3388</v>
      </c>
      <c r="M122" s="12" t="str">
        <f>HYPERLINK("http://slimages.macys.com/is/image/MCY/3875951 ")</f>
        <v xml:space="preserve">http://slimages.macys.com/is/image/MCY/3875951 </v>
      </c>
    </row>
    <row r="123" spans="1:13" ht="15.2" customHeight="1" x14ac:dyDescent="0.2">
      <c r="A123" s="6" t="s">
        <v>2394</v>
      </c>
      <c r="B123" s="7" t="s">
        <v>2395</v>
      </c>
      <c r="C123" s="8">
        <v>1</v>
      </c>
      <c r="D123" s="9">
        <v>9.25</v>
      </c>
      <c r="E123" s="9">
        <v>9.25</v>
      </c>
      <c r="F123" s="10">
        <v>19.989999999999998</v>
      </c>
      <c r="G123" s="9">
        <v>19.989999999999998</v>
      </c>
      <c r="H123" s="8" t="s">
        <v>2396</v>
      </c>
      <c r="I123" s="7" t="s">
        <v>3203</v>
      </c>
      <c r="J123" s="11" t="s">
        <v>3231</v>
      </c>
      <c r="K123" s="7" t="s">
        <v>3387</v>
      </c>
      <c r="L123" s="7" t="s">
        <v>3388</v>
      </c>
      <c r="M123" s="12" t="str">
        <f>HYPERLINK("http://slimages.macys.com/is/image/MCY/3875951 ")</f>
        <v xml:space="preserve">http://slimages.macys.com/is/image/MCY/3875951 </v>
      </c>
    </row>
    <row r="124" spans="1:13" ht="15.2" customHeight="1" x14ac:dyDescent="0.2">
      <c r="A124" s="6" t="s">
        <v>75</v>
      </c>
      <c r="B124" s="7" t="s">
        <v>76</v>
      </c>
      <c r="C124" s="8">
        <v>1</v>
      </c>
      <c r="D124" s="9">
        <v>9.25</v>
      </c>
      <c r="E124" s="9">
        <v>9.25</v>
      </c>
      <c r="F124" s="10">
        <v>19.989999999999998</v>
      </c>
      <c r="G124" s="9">
        <v>19.989999999999998</v>
      </c>
      <c r="H124" s="8">
        <v>60427717</v>
      </c>
      <c r="I124" s="7" t="s">
        <v>3214</v>
      </c>
      <c r="J124" s="11" t="s">
        <v>3202</v>
      </c>
      <c r="K124" s="7" t="s">
        <v>3334</v>
      </c>
      <c r="L124" s="7" t="s">
        <v>3368</v>
      </c>
      <c r="M124" s="12" t="str">
        <f>HYPERLINK("http://slimages.macys.com/is/image/MCY/3503053 ")</f>
        <v xml:space="preserve">http://slimages.macys.com/is/image/MCY/3503053 </v>
      </c>
    </row>
    <row r="125" spans="1:13" ht="15.2" customHeight="1" x14ac:dyDescent="0.2">
      <c r="A125" s="6" t="s">
        <v>4277</v>
      </c>
      <c r="B125" s="7" t="s">
        <v>4278</v>
      </c>
      <c r="C125" s="8">
        <v>1</v>
      </c>
      <c r="D125" s="9">
        <v>9.2200000000000006</v>
      </c>
      <c r="E125" s="9">
        <v>9.2200000000000006</v>
      </c>
      <c r="F125" s="10">
        <v>21.99</v>
      </c>
      <c r="G125" s="9">
        <v>21.99</v>
      </c>
      <c r="H125" s="8" t="s">
        <v>3395</v>
      </c>
      <c r="I125" s="7" t="s">
        <v>3185</v>
      </c>
      <c r="J125" s="11" t="s">
        <v>3236</v>
      </c>
      <c r="K125" s="7" t="s">
        <v>3300</v>
      </c>
      <c r="L125" s="7" t="s">
        <v>3301</v>
      </c>
      <c r="M125" s="12" t="str">
        <f>HYPERLINK("http://slimages.macys.com/is/image/MCY/3857709 ")</f>
        <v xml:space="preserve">http://slimages.macys.com/is/image/MCY/3857709 </v>
      </c>
    </row>
    <row r="126" spans="1:13" ht="15.2" customHeight="1" x14ac:dyDescent="0.2">
      <c r="A126" s="6" t="s">
        <v>3718</v>
      </c>
      <c r="B126" s="7" t="s">
        <v>3719</v>
      </c>
      <c r="C126" s="8">
        <v>2</v>
      </c>
      <c r="D126" s="9">
        <v>9.2200000000000006</v>
      </c>
      <c r="E126" s="9">
        <v>18.440000000000001</v>
      </c>
      <c r="F126" s="10">
        <v>21.99</v>
      </c>
      <c r="G126" s="9">
        <v>43.98</v>
      </c>
      <c r="H126" s="8" t="s">
        <v>3720</v>
      </c>
      <c r="I126" s="7" t="s">
        <v>3185</v>
      </c>
      <c r="J126" s="11" t="s">
        <v>3202</v>
      </c>
      <c r="K126" s="7" t="s">
        <v>3300</v>
      </c>
      <c r="L126" s="7" t="s">
        <v>3301</v>
      </c>
      <c r="M126" s="12" t="str">
        <f>HYPERLINK("http://slimages.macys.com/is/image/MCY/3857711 ")</f>
        <v xml:space="preserve">http://slimages.macys.com/is/image/MCY/3857711 </v>
      </c>
    </row>
    <row r="127" spans="1:13" ht="15.2" customHeight="1" x14ac:dyDescent="0.2">
      <c r="A127" s="6" t="s">
        <v>2736</v>
      </c>
      <c r="B127" s="7" t="s">
        <v>2737</v>
      </c>
      <c r="C127" s="8">
        <v>1</v>
      </c>
      <c r="D127" s="9">
        <v>9.2200000000000006</v>
      </c>
      <c r="E127" s="9">
        <v>9.2200000000000006</v>
      </c>
      <c r="F127" s="10">
        <v>21.99</v>
      </c>
      <c r="G127" s="9">
        <v>21.99</v>
      </c>
      <c r="H127" s="8" t="s">
        <v>3398</v>
      </c>
      <c r="I127" s="7" t="s">
        <v>3185</v>
      </c>
      <c r="J127" s="11" t="s">
        <v>3236</v>
      </c>
      <c r="K127" s="7" t="s">
        <v>3300</v>
      </c>
      <c r="L127" s="7" t="s">
        <v>3301</v>
      </c>
      <c r="M127" s="12" t="str">
        <f>HYPERLINK("http://slimages.macys.com/is/image/MCY/3857694 ")</f>
        <v xml:space="preserve">http://slimages.macys.com/is/image/MCY/3857694 </v>
      </c>
    </row>
    <row r="128" spans="1:13" ht="15.2" customHeight="1" x14ac:dyDescent="0.2">
      <c r="A128" s="6" t="s">
        <v>77</v>
      </c>
      <c r="B128" s="7" t="s">
        <v>78</v>
      </c>
      <c r="C128" s="8">
        <v>1</v>
      </c>
      <c r="D128" s="9">
        <v>9.2200000000000006</v>
      </c>
      <c r="E128" s="9">
        <v>9.2200000000000006</v>
      </c>
      <c r="F128" s="10">
        <v>21.99</v>
      </c>
      <c r="G128" s="9">
        <v>21.99</v>
      </c>
      <c r="H128" s="8" t="s">
        <v>3395</v>
      </c>
      <c r="I128" s="7" t="s">
        <v>3396</v>
      </c>
      <c r="J128" s="11" t="s">
        <v>3202</v>
      </c>
      <c r="K128" s="7" t="s">
        <v>3300</v>
      </c>
      <c r="L128" s="7" t="s">
        <v>3301</v>
      </c>
      <c r="M128" s="12" t="str">
        <f>HYPERLINK("http://slimages.macys.com/is/image/MCY/3857709 ")</f>
        <v xml:space="preserve">http://slimages.macys.com/is/image/MCY/3857709 </v>
      </c>
    </row>
    <row r="129" spans="1:13" ht="15.2" customHeight="1" x14ac:dyDescent="0.2">
      <c r="A129" s="6" t="s">
        <v>2254</v>
      </c>
      <c r="B129" s="7" t="s">
        <v>2255</v>
      </c>
      <c r="C129" s="8">
        <v>4</v>
      </c>
      <c r="D129" s="9">
        <v>9.2200000000000006</v>
      </c>
      <c r="E129" s="9">
        <v>36.880000000000003</v>
      </c>
      <c r="F129" s="10">
        <v>21.99</v>
      </c>
      <c r="G129" s="9">
        <v>87.96</v>
      </c>
      <c r="H129" s="8" t="s">
        <v>3395</v>
      </c>
      <c r="I129" s="7" t="s">
        <v>3396</v>
      </c>
      <c r="J129" s="11" t="s">
        <v>3186</v>
      </c>
      <c r="K129" s="7" t="s">
        <v>3300</v>
      </c>
      <c r="L129" s="7" t="s">
        <v>3301</v>
      </c>
      <c r="M129" s="12" t="str">
        <f>HYPERLINK("http://slimages.macys.com/is/image/MCY/3857709 ")</f>
        <v xml:space="preserve">http://slimages.macys.com/is/image/MCY/3857709 </v>
      </c>
    </row>
    <row r="130" spans="1:13" ht="15.2" customHeight="1" x14ac:dyDescent="0.2">
      <c r="A130" s="6" t="s">
        <v>3933</v>
      </c>
      <c r="B130" s="7" t="s">
        <v>3934</v>
      </c>
      <c r="C130" s="8">
        <v>3</v>
      </c>
      <c r="D130" s="9">
        <v>9.2200000000000006</v>
      </c>
      <c r="E130" s="9">
        <v>27.66</v>
      </c>
      <c r="F130" s="10">
        <v>21.99</v>
      </c>
      <c r="G130" s="9">
        <v>65.97</v>
      </c>
      <c r="H130" s="8" t="s">
        <v>3395</v>
      </c>
      <c r="I130" s="7" t="s">
        <v>3185</v>
      </c>
      <c r="J130" s="11" t="s">
        <v>3186</v>
      </c>
      <c r="K130" s="7" t="s">
        <v>3300</v>
      </c>
      <c r="L130" s="7" t="s">
        <v>3301</v>
      </c>
      <c r="M130" s="12" t="str">
        <f>HYPERLINK("http://slimages.macys.com/is/image/MCY/3857709 ")</f>
        <v xml:space="preserve">http://slimages.macys.com/is/image/MCY/3857709 </v>
      </c>
    </row>
    <row r="131" spans="1:13" ht="15.2" customHeight="1" x14ac:dyDescent="0.2">
      <c r="A131" s="6" t="s">
        <v>2256</v>
      </c>
      <c r="B131" s="7" t="s">
        <v>2257</v>
      </c>
      <c r="C131" s="8">
        <v>1</v>
      </c>
      <c r="D131" s="9">
        <v>9.2200000000000006</v>
      </c>
      <c r="E131" s="9">
        <v>9.2200000000000006</v>
      </c>
      <c r="F131" s="10">
        <v>21.99</v>
      </c>
      <c r="G131" s="9">
        <v>21.99</v>
      </c>
      <c r="H131" s="8" t="s">
        <v>3937</v>
      </c>
      <c r="I131" s="7" t="s">
        <v>3185</v>
      </c>
      <c r="J131" s="11" t="s">
        <v>3186</v>
      </c>
      <c r="K131" s="7" t="s">
        <v>3300</v>
      </c>
      <c r="L131" s="7" t="s">
        <v>3301</v>
      </c>
      <c r="M131" s="12" t="str">
        <f>HYPERLINK("http://slimages.macys.com/is/image/MCY/3870610 ")</f>
        <v xml:space="preserve">http://slimages.macys.com/is/image/MCY/3870610 </v>
      </c>
    </row>
    <row r="132" spans="1:13" ht="15.2" customHeight="1" x14ac:dyDescent="0.2">
      <c r="A132" s="6" t="s">
        <v>2399</v>
      </c>
      <c r="B132" s="7" t="s">
        <v>2400</v>
      </c>
      <c r="C132" s="8">
        <v>2</v>
      </c>
      <c r="D132" s="9">
        <v>9.2200000000000006</v>
      </c>
      <c r="E132" s="9">
        <v>18.440000000000001</v>
      </c>
      <c r="F132" s="10">
        <v>21.99</v>
      </c>
      <c r="G132" s="9">
        <v>43.98</v>
      </c>
      <c r="H132" s="8" t="s">
        <v>3395</v>
      </c>
      <c r="I132" s="7" t="s">
        <v>3396</v>
      </c>
      <c r="J132" s="11" t="s">
        <v>3236</v>
      </c>
      <c r="K132" s="7" t="s">
        <v>3300</v>
      </c>
      <c r="L132" s="7" t="s">
        <v>3301</v>
      </c>
      <c r="M132" s="12" t="str">
        <f>HYPERLINK("http://slimages.macys.com/is/image/MCY/3857709 ")</f>
        <v xml:space="preserve">http://slimages.macys.com/is/image/MCY/3857709 </v>
      </c>
    </row>
    <row r="133" spans="1:13" ht="15.2" customHeight="1" x14ac:dyDescent="0.2">
      <c r="A133" s="6" t="s">
        <v>2741</v>
      </c>
      <c r="B133" s="7" t="s">
        <v>2742</v>
      </c>
      <c r="C133" s="8">
        <v>2</v>
      </c>
      <c r="D133" s="9">
        <v>9.2200000000000006</v>
      </c>
      <c r="E133" s="9">
        <v>18.440000000000001</v>
      </c>
      <c r="F133" s="10">
        <v>21.99</v>
      </c>
      <c r="G133" s="9">
        <v>43.98</v>
      </c>
      <c r="H133" s="8" t="s">
        <v>3397</v>
      </c>
      <c r="I133" s="7" t="s">
        <v>3216</v>
      </c>
      <c r="J133" s="11" t="s">
        <v>3231</v>
      </c>
      <c r="K133" s="7" t="s">
        <v>3300</v>
      </c>
      <c r="L133" s="7" t="s">
        <v>3301</v>
      </c>
      <c r="M133" s="12" t="str">
        <f>HYPERLINK("http://slimages.macys.com/is/image/MCY/3857710 ")</f>
        <v xml:space="preserve">http://slimages.macys.com/is/image/MCY/3857710 </v>
      </c>
    </row>
    <row r="134" spans="1:13" ht="15.2" customHeight="1" x14ac:dyDescent="0.2">
      <c r="A134" s="6" t="s">
        <v>4093</v>
      </c>
      <c r="B134" s="7" t="s">
        <v>4094</v>
      </c>
      <c r="C134" s="8">
        <v>2</v>
      </c>
      <c r="D134" s="9">
        <v>9.2200000000000006</v>
      </c>
      <c r="E134" s="9">
        <v>18.440000000000001</v>
      </c>
      <c r="F134" s="10">
        <v>21.99</v>
      </c>
      <c r="G134" s="9">
        <v>43.98</v>
      </c>
      <c r="H134" s="8" t="s">
        <v>3395</v>
      </c>
      <c r="I134" s="7" t="s">
        <v>3185</v>
      </c>
      <c r="J134" s="11" t="s">
        <v>3220</v>
      </c>
      <c r="K134" s="7" t="s">
        <v>3300</v>
      </c>
      <c r="L134" s="7" t="s">
        <v>3301</v>
      </c>
      <c r="M134" s="12" t="str">
        <f>HYPERLINK("http://slimages.macys.com/is/image/MCY/3857709 ")</f>
        <v xml:space="preserve">http://slimages.macys.com/is/image/MCY/3857709 </v>
      </c>
    </row>
    <row r="135" spans="1:13" ht="15.2" customHeight="1" x14ac:dyDescent="0.2">
      <c r="A135" s="6" t="s">
        <v>3724</v>
      </c>
      <c r="B135" s="7" t="s">
        <v>3725</v>
      </c>
      <c r="C135" s="8">
        <v>1</v>
      </c>
      <c r="D135" s="9">
        <v>9.1999999999999993</v>
      </c>
      <c r="E135" s="9">
        <v>9.1999999999999993</v>
      </c>
      <c r="F135" s="10">
        <v>21.99</v>
      </c>
      <c r="G135" s="9">
        <v>21.99</v>
      </c>
      <c r="H135" s="8" t="s">
        <v>3399</v>
      </c>
      <c r="I135" s="7" t="s">
        <v>3182</v>
      </c>
      <c r="J135" s="11" t="s">
        <v>3220</v>
      </c>
      <c r="K135" s="7" t="s">
        <v>3300</v>
      </c>
      <c r="L135" s="7" t="s">
        <v>3301</v>
      </c>
      <c r="M135" s="12" t="str">
        <f>HYPERLINK("http://slimages.macys.com/is/image/MCY/3857655 ")</f>
        <v xml:space="preserve">http://slimages.macys.com/is/image/MCY/3857655 </v>
      </c>
    </row>
    <row r="136" spans="1:13" ht="15.2" customHeight="1" x14ac:dyDescent="0.2">
      <c r="A136" s="6" t="s">
        <v>2262</v>
      </c>
      <c r="B136" s="7" t="s">
        <v>2263</v>
      </c>
      <c r="C136" s="8">
        <v>1</v>
      </c>
      <c r="D136" s="9">
        <v>9.1999999999999993</v>
      </c>
      <c r="E136" s="9">
        <v>9.1999999999999993</v>
      </c>
      <c r="F136" s="10">
        <v>21.99</v>
      </c>
      <c r="G136" s="9">
        <v>21.99</v>
      </c>
      <c r="H136" s="8" t="s">
        <v>4101</v>
      </c>
      <c r="I136" s="7" t="s">
        <v>3263</v>
      </c>
      <c r="J136" s="11" t="s">
        <v>3202</v>
      </c>
      <c r="K136" s="7" t="s">
        <v>3300</v>
      </c>
      <c r="L136" s="7" t="s">
        <v>3301</v>
      </c>
      <c r="M136" s="12" t="str">
        <f>HYPERLINK("http://slimages.macys.com/is/image/MCY/3857655 ")</f>
        <v xml:space="preserve">http://slimages.macys.com/is/image/MCY/3857655 </v>
      </c>
    </row>
    <row r="137" spans="1:13" ht="15.2" customHeight="1" x14ac:dyDescent="0.2">
      <c r="A137" s="6" t="s">
        <v>79</v>
      </c>
      <c r="B137" s="7" t="s">
        <v>80</v>
      </c>
      <c r="C137" s="8">
        <v>1</v>
      </c>
      <c r="D137" s="9">
        <v>9.1</v>
      </c>
      <c r="E137" s="9">
        <v>9.1</v>
      </c>
      <c r="F137" s="10">
        <v>19.989999999999998</v>
      </c>
      <c r="G137" s="9">
        <v>19.989999999999998</v>
      </c>
      <c r="H137" s="8" t="s">
        <v>3942</v>
      </c>
      <c r="I137" s="7" t="s">
        <v>3191</v>
      </c>
      <c r="J137" s="11" t="s">
        <v>3242</v>
      </c>
      <c r="K137" s="7" t="s">
        <v>3343</v>
      </c>
      <c r="L137" s="7" t="s">
        <v>3384</v>
      </c>
      <c r="M137" s="12" t="str">
        <f>HYPERLINK("http://slimages.macys.com/is/image/MCY/3821784 ")</f>
        <v xml:space="preserve">http://slimages.macys.com/is/image/MCY/3821784 </v>
      </c>
    </row>
    <row r="138" spans="1:13" ht="15.2" customHeight="1" x14ac:dyDescent="0.2">
      <c r="A138" s="6" t="s">
        <v>81</v>
      </c>
      <c r="B138" s="7" t="s">
        <v>82</v>
      </c>
      <c r="C138" s="8">
        <v>1</v>
      </c>
      <c r="D138" s="9">
        <v>9.1</v>
      </c>
      <c r="E138" s="9">
        <v>9.1</v>
      </c>
      <c r="F138" s="10">
        <v>19.989999999999998</v>
      </c>
      <c r="G138" s="9">
        <v>19.989999999999998</v>
      </c>
      <c r="H138" s="8" t="s">
        <v>3942</v>
      </c>
      <c r="I138" s="7" t="s">
        <v>3191</v>
      </c>
      <c r="J138" s="11" t="s">
        <v>3220</v>
      </c>
      <c r="K138" s="7" t="s">
        <v>3343</v>
      </c>
      <c r="L138" s="7" t="s">
        <v>3384</v>
      </c>
      <c r="M138" s="12" t="str">
        <f>HYPERLINK("http://slimages.macys.com/is/image/MCY/3821784 ")</f>
        <v xml:space="preserve">http://slimages.macys.com/is/image/MCY/3821784 </v>
      </c>
    </row>
    <row r="139" spans="1:13" ht="15.2" customHeight="1" x14ac:dyDescent="0.2">
      <c r="A139" s="6" t="s">
        <v>2754</v>
      </c>
      <c r="B139" s="7" t="s">
        <v>2755</v>
      </c>
      <c r="C139" s="8">
        <v>1</v>
      </c>
      <c r="D139" s="9">
        <v>9.1</v>
      </c>
      <c r="E139" s="9">
        <v>9.1</v>
      </c>
      <c r="F139" s="10">
        <v>19.989999999999998</v>
      </c>
      <c r="G139" s="9">
        <v>19.989999999999998</v>
      </c>
      <c r="H139" s="8" t="s">
        <v>3942</v>
      </c>
      <c r="I139" s="7" t="s">
        <v>3339</v>
      </c>
      <c r="J139" s="11" t="s">
        <v>3220</v>
      </c>
      <c r="K139" s="7" t="s">
        <v>3343</v>
      </c>
      <c r="L139" s="7" t="s">
        <v>3384</v>
      </c>
      <c r="M139" s="12" t="str">
        <f>HYPERLINK("http://slimages.macys.com/is/image/MCY/3820944 ")</f>
        <v xml:space="preserve">http://slimages.macys.com/is/image/MCY/3820944 </v>
      </c>
    </row>
    <row r="140" spans="1:13" ht="15.2" customHeight="1" x14ac:dyDescent="0.2">
      <c r="A140" s="6" t="s">
        <v>4115</v>
      </c>
      <c r="B140" s="7" t="s">
        <v>4116</v>
      </c>
      <c r="C140" s="8">
        <v>1</v>
      </c>
      <c r="D140" s="9">
        <v>9</v>
      </c>
      <c r="E140" s="9">
        <v>9</v>
      </c>
      <c r="F140" s="10">
        <v>19.989999999999998</v>
      </c>
      <c r="G140" s="9">
        <v>19.989999999999998</v>
      </c>
      <c r="H140" s="8">
        <v>60433877</v>
      </c>
      <c r="I140" s="7" t="s">
        <v>3234</v>
      </c>
      <c r="J140" s="11" t="s">
        <v>3231</v>
      </c>
      <c r="K140" s="7" t="s">
        <v>3343</v>
      </c>
      <c r="L140" s="7" t="s">
        <v>3368</v>
      </c>
      <c r="M140" s="12" t="str">
        <f>HYPERLINK("http://slimages.macys.com/is/image/MCY/3910888 ")</f>
        <v xml:space="preserve">http://slimages.macys.com/is/image/MCY/3910888 </v>
      </c>
    </row>
    <row r="141" spans="1:13" ht="15.2" customHeight="1" x14ac:dyDescent="0.2">
      <c r="A141" s="6" t="s">
        <v>2405</v>
      </c>
      <c r="B141" s="7" t="s">
        <v>2406</v>
      </c>
      <c r="C141" s="8">
        <v>1</v>
      </c>
      <c r="D141" s="9">
        <v>9</v>
      </c>
      <c r="E141" s="9">
        <v>9</v>
      </c>
      <c r="F141" s="10">
        <v>19.989999999999998</v>
      </c>
      <c r="G141" s="9">
        <v>19.989999999999998</v>
      </c>
      <c r="H141" s="8" t="s">
        <v>3403</v>
      </c>
      <c r="I141" s="7" t="s">
        <v>3339</v>
      </c>
      <c r="J141" s="11" t="s">
        <v>3231</v>
      </c>
      <c r="K141" s="7" t="s">
        <v>3323</v>
      </c>
      <c r="L141" s="7" t="s">
        <v>3356</v>
      </c>
      <c r="M141" s="12" t="str">
        <f>HYPERLINK("http://slimages.macys.com/is/image/MCY/3890895 ")</f>
        <v xml:space="preserve">http://slimages.macys.com/is/image/MCY/3890895 </v>
      </c>
    </row>
    <row r="142" spans="1:13" ht="15.2" customHeight="1" x14ac:dyDescent="0.2">
      <c r="A142" s="6" t="s">
        <v>83</v>
      </c>
      <c r="B142" s="7" t="s">
        <v>84</v>
      </c>
      <c r="C142" s="8">
        <v>1</v>
      </c>
      <c r="D142" s="9">
        <v>9</v>
      </c>
      <c r="E142" s="9">
        <v>9</v>
      </c>
      <c r="F142" s="10">
        <v>59</v>
      </c>
      <c r="G142" s="9">
        <v>59</v>
      </c>
      <c r="H142" s="8" t="s">
        <v>1612</v>
      </c>
      <c r="I142" s="7" t="s">
        <v>3185</v>
      </c>
      <c r="J142" s="11" t="s">
        <v>3310</v>
      </c>
      <c r="K142" s="7" t="s">
        <v>3281</v>
      </c>
      <c r="L142" s="7" t="s">
        <v>3322</v>
      </c>
      <c r="M142" s="12" t="str">
        <f>HYPERLINK("http://slimages.macys.com/is/image/MCY/3688692 ")</f>
        <v xml:space="preserve">http://slimages.macys.com/is/image/MCY/3688692 </v>
      </c>
    </row>
    <row r="143" spans="1:13" ht="15.2" customHeight="1" x14ac:dyDescent="0.2">
      <c r="A143" s="6" t="s">
        <v>2407</v>
      </c>
      <c r="B143" s="7" t="s">
        <v>2408</v>
      </c>
      <c r="C143" s="8">
        <v>1</v>
      </c>
      <c r="D143" s="9">
        <v>8.9</v>
      </c>
      <c r="E143" s="9">
        <v>8.9</v>
      </c>
      <c r="F143" s="10">
        <v>19.989999999999998</v>
      </c>
      <c r="G143" s="9">
        <v>19.989999999999998</v>
      </c>
      <c r="H143" s="8" t="s">
        <v>4117</v>
      </c>
      <c r="I143" s="7" t="s">
        <v>3257</v>
      </c>
      <c r="J143" s="11" t="s">
        <v>3202</v>
      </c>
      <c r="K143" s="7" t="s">
        <v>3343</v>
      </c>
      <c r="L143" s="7" t="s">
        <v>3356</v>
      </c>
      <c r="M143" s="12" t="str">
        <f>HYPERLINK("http://slimages.macys.com/is/image/MCY/3844915 ")</f>
        <v xml:space="preserve">http://slimages.macys.com/is/image/MCY/3844915 </v>
      </c>
    </row>
    <row r="144" spans="1:13" ht="15.2" customHeight="1" x14ac:dyDescent="0.2">
      <c r="A144" s="6" t="s">
        <v>1150</v>
      </c>
      <c r="B144" s="7" t="s">
        <v>1151</v>
      </c>
      <c r="C144" s="8">
        <v>1</v>
      </c>
      <c r="D144" s="9">
        <v>8.75</v>
      </c>
      <c r="E144" s="9">
        <v>8.75</v>
      </c>
      <c r="F144" s="10">
        <v>19.989999999999998</v>
      </c>
      <c r="G144" s="9">
        <v>19.989999999999998</v>
      </c>
      <c r="H144" s="8">
        <v>60433875</v>
      </c>
      <c r="I144" s="7" t="s">
        <v>3246</v>
      </c>
      <c r="J144" s="11" t="s">
        <v>3242</v>
      </c>
      <c r="K144" s="7" t="s">
        <v>3343</v>
      </c>
      <c r="L144" s="7" t="s">
        <v>3368</v>
      </c>
      <c r="M144" s="12" t="str">
        <f>HYPERLINK("http://slimages.macys.com/is/image/MCY/3915853 ")</f>
        <v xml:space="preserve">http://slimages.macys.com/is/image/MCY/3915853 </v>
      </c>
    </row>
    <row r="145" spans="1:13" ht="15.2" customHeight="1" x14ac:dyDescent="0.2">
      <c r="A145" s="6" t="s">
        <v>2774</v>
      </c>
      <c r="B145" s="7" t="s">
        <v>2775</v>
      </c>
      <c r="C145" s="8">
        <v>1</v>
      </c>
      <c r="D145" s="9">
        <v>8.5500000000000007</v>
      </c>
      <c r="E145" s="9">
        <v>8.5500000000000007</v>
      </c>
      <c r="F145" s="10">
        <v>19.989999999999998</v>
      </c>
      <c r="G145" s="9">
        <v>19.989999999999998</v>
      </c>
      <c r="H145" s="8" t="s">
        <v>3948</v>
      </c>
      <c r="I145" s="7"/>
      <c r="J145" s="11" t="s">
        <v>3220</v>
      </c>
      <c r="K145" s="7" t="s">
        <v>3343</v>
      </c>
      <c r="L145" s="7" t="s">
        <v>3367</v>
      </c>
      <c r="M145" s="12" t="str">
        <f>HYPERLINK("http://slimages.macys.com/is/image/MCY/3815102 ")</f>
        <v xml:space="preserve">http://slimages.macys.com/is/image/MCY/3815102 </v>
      </c>
    </row>
    <row r="146" spans="1:13" ht="15.2" customHeight="1" x14ac:dyDescent="0.2">
      <c r="A146" s="6" t="s">
        <v>2782</v>
      </c>
      <c r="B146" s="7" t="s">
        <v>2783</v>
      </c>
      <c r="C146" s="8">
        <v>1</v>
      </c>
      <c r="D146" s="9">
        <v>8.5500000000000007</v>
      </c>
      <c r="E146" s="9">
        <v>8.5500000000000007</v>
      </c>
      <c r="F146" s="10">
        <v>19.989999999999998</v>
      </c>
      <c r="G146" s="9">
        <v>19.989999999999998</v>
      </c>
      <c r="H146" s="8" t="s">
        <v>2778</v>
      </c>
      <c r="I146" s="7" t="s">
        <v>3182</v>
      </c>
      <c r="J146" s="11" t="s">
        <v>3202</v>
      </c>
      <c r="K146" s="7" t="s">
        <v>3343</v>
      </c>
      <c r="L146" s="7" t="s">
        <v>3367</v>
      </c>
      <c r="M146" s="12" t="str">
        <f>HYPERLINK("http://slimages.macys.com/is/image/MCY/3931020 ")</f>
        <v xml:space="preserve">http://slimages.macys.com/is/image/MCY/3931020 </v>
      </c>
    </row>
    <row r="147" spans="1:13" ht="15.2" customHeight="1" x14ac:dyDescent="0.2">
      <c r="A147" s="6" t="s">
        <v>85</v>
      </c>
      <c r="B147" s="7" t="s">
        <v>86</v>
      </c>
      <c r="C147" s="8">
        <v>1</v>
      </c>
      <c r="D147" s="9">
        <v>8.5</v>
      </c>
      <c r="E147" s="9">
        <v>8.5</v>
      </c>
      <c r="F147" s="10">
        <v>19.989999999999998</v>
      </c>
      <c r="G147" s="9">
        <v>19.989999999999998</v>
      </c>
      <c r="H147" s="8" t="s">
        <v>3417</v>
      </c>
      <c r="I147" s="7" t="s">
        <v>3321</v>
      </c>
      <c r="J147" s="11" t="s">
        <v>3242</v>
      </c>
      <c r="K147" s="7" t="s">
        <v>3323</v>
      </c>
      <c r="L147" s="7" t="s">
        <v>3356</v>
      </c>
      <c r="M147" s="12" t="str">
        <f>HYPERLINK("http://slimages.macys.com/is/image/MCY/3890886 ")</f>
        <v xml:space="preserve">http://slimages.macys.com/is/image/MCY/3890886 </v>
      </c>
    </row>
    <row r="148" spans="1:13" ht="15.2" customHeight="1" x14ac:dyDescent="0.2">
      <c r="A148" s="6" t="s">
        <v>3959</v>
      </c>
      <c r="B148" s="7" t="s">
        <v>3960</v>
      </c>
      <c r="C148" s="8">
        <v>1</v>
      </c>
      <c r="D148" s="9">
        <v>8.5</v>
      </c>
      <c r="E148" s="9">
        <v>8.5</v>
      </c>
      <c r="F148" s="10">
        <v>19.989999999999998</v>
      </c>
      <c r="G148" s="9">
        <v>19.989999999999998</v>
      </c>
      <c r="H148" s="8" t="s">
        <v>3406</v>
      </c>
      <c r="I148" s="7" t="s">
        <v>3416</v>
      </c>
      <c r="J148" s="11" t="s">
        <v>3231</v>
      </c>
      <c r="K148" s="7" t="s">
        <v>3323</v>
      </c>
      <c r="L148" s="7" t="s">
        <v>3407</v>
      </c>
      <c r="M148" s="12" t="str">
        <f>HYPERLINK("http://slimages.macys.com/is/image/MCY/3910788 ")</f>
        <v xml:space="preserve">http://slimages.macys.com/is/image/MCY/3910788 </v>
      </c>
    </row>
    <row r="149" spans="1:13" ht="15.2" customHeight="1" x14ac:dyDescent="0.2">
      <c r="A149" s="6" t="s">
        <v>1271</v>
      </c>
      <c r="B149" s="7" t="s">
        <v>1272</v>
      </c>
      <c r="C149" s="8">
        <v>1</v>
      </c>
      <c r="D149" s="9">
        <v>8.5</v>
      </c>
      <c r="E149" s="9">
        <v>8.5</v>
      </c>
      <c r="F149" s="10">
        <v>19.989999999999998</v>
      </c>
      <c r="G149" s="9">
        <v>19.989999999999998</v>
      </c>
      <c r="H149" s="8">
        <v>60433871</v>
      </c>
      <c r="I149" s="7" t="s">
        <v>3339</v>
      </c>
      <c r="J149" s="11" t="s">
        <v>3220</v>
      </c>
      <c r="K149" s="7" t="s">
        <v>3343</v>
      </c>
      <c r="L149" s="7" t="s">
        <v>3368</v>
      </c>
      <c r="M149" s="12" t="str">
        <f>HYPERLINK("http://slimages.macys.com/is/image/MCY/3910875 ")</f>
        <v xml:space="preserve">http://slimages.macys.com/is/image/MCY/3910875 </v>
      </c>
    </row>
    <row r="150" spans="1:13" ht="15.2" customHeight="1" x14ac:dyDescent="0.2">
      <c r="A150" s="6" t="s">
        <v>4287</v>
      </c>
      <c r="B150" s="7" t="s">
        <v>4288</v>
      </c>
      <c r="C150" s="8">
        <v>1</v>
      </c>
      <c r="D150" s="9">
        <v>8.5</v>
      </c>
      <c r="E150" s="9">
        <v>8.5</v>
      </c>
      <c r="F150" s="10">
        <v>19.989999999999998</v>
      </c>
      <c r="G150" s="9">
        <v>19.989999999999998</v>
      </c>
      <c r="H150" s="8" t="s">
        <v>3417</v>
      </c>
      <c r="I150" s="7" t="s">
        <v>3382</v>
      </c>
      <c r="J150" s="11" t="s">
        <v>3242</v>
      </c>
      <c r="K150" s="7" t="s">
        <v>3323</v>
      </c>
      <c r="L150" s="7" t="s">
        <v>3356</v>
      </c>
      <c r="M150" s="12" t="str">
        <f>HYPERLINK("http://slimages.macys.com/is/image/MCY/3890886 ")</f>
        <v xml:space="preserve">http://slimages.macys.com/is/image/MCY/3890886 </v>
      </c>
    </row>
    <row r="151" spans="1:13" ht="15.2" customHeight="1" x14ac:dyDescent="0.2">
      <c r="A151" s="6" t="s">
        <v>87</v>
      </c>
      <c r="B151" s="7" t="s">
        <v>88</v>
      </c>
      <c r="C151" s="8">
        <v>1</v>
      </c>
      <c r="D151" s="9">
        <v>8.3000000000000007</v>
      </c>
      <c r="E151" s="9">
        <v>8.3000000000000007</v>
      </c>
      <c r="F151" s="10">
        <v>19.989999999999998</v>
      </c>
      <c r="G151" s="9">
        <v>19.989999999999998</v>
      </c>
      <c r="H151" s="8" t="s">
        <v>89</v>
      </c>
      <c r="I151" s="7"/>
      <c r="J151" s="11" t="s">
        <v>3231</v>
      </c>
      <c r="K151" s="7" t="s">
        <v>3300</v>
      </c>
      <c r="L151" s="7" t="s">
        <v>3301</v>
      </c>
      <c r="M151" s="12" t="str">
        <f>HYPERLINK("http://slimages.macys.com/is/image/MCY/3464654 ")</f>
        <v xml:space="preserve">http://slimages.macys.com/is/image/MCY/3464654 </v>
      </c>
    </row>
    <row r="152" spans="1:13" ht="15.2" customHeight="1" x14ac:dyDescent="0.2">
      <c r="A152" s="6" t="s">
        <v>1900</v>
      </c>
      <c r="B152" s="7" t="s">
        <v>1901</v>
      </c>
      <c r="C152" s="8">
        <v>1</v>
      </c>
      <c r="D152" s="9">
        <v>8.15</v>
      </c>
      <c r="E152" s="9">
        <v>8.15</v>
      </c>
      <c r="F152" s="10">
        <v>16.989999999999998</v>
      </c>
      <c r="G152" s="9">
        <v>16.989999999999998</v>
      </c>
      <c r="H152" s="8">
        <v>60433928</v>
      </c>
      <c r="I152" s="7" t="s">
        <v>3421</v>
      </c>
      <c r="J152" s="11" t="s">
        <v>3220</v>
      </c>
      <c r="K152" s="7" t="s">
        <v>3334</v>
      </c>
      <c r="L152" s="7" t="s">
        <v>3368</v>
      </c>
      <c r="M152" s="12" t="str">
        <f>HYPERLINK("http://slimages.macys.com/is/image/MCY/3623246 ")</f>
        <v xml:space="preserve">http://slimages.macys.com/is/image/MCY/3623246 </v>
      </c>
    </row>
    <row r="153" spans="1:13" ht="15.2" customHeight="1" x14ac:dyDescent="0.2">
      <c r="A153" s="6" t="s">
        <v>678</v>
      </c>
      <c r="B153" s="7" t="s">
        <v>679</v>
      </c>
      <c r="C153" s="8">
        <v>1</v>
      </c>
      <c r="D153" s="9">
        <v>8.15</v>
      </c>
      <c r="E153" s="9">
        <v>8.15</v>
      </c>
      <c r="F153" s="10">
        <v>16.989999999999998</v>
      </c>
      <c r="G153" s="9">
        <v>16.989999999999998</v>
      </c>
      <c r="H153" s="8">
        <v>60433928</v>
      </c>
      <c r="I153" s="7" t="s">
        <v>3421</v>
      </c>
      <c r="J153" s="11" t="s">
        <v>3242</v>
      </c>
      <c r="K153" s="7" t="s">
        <v>3334</v>
      </c>
      <c r="L153" s="7" t="s">
        <v>3368</v>
      </c>
      <c r="M153" s="12" t="str">
        <f>HYPERLINK("http://slimages.macys.com/is/image/MCY/3623246 ")</f>
        <v xml:space="preserve">http://slimages.macys.com/is/image/MCY/3623246 </v>
      </c>
    </row>
    <row r="154" spans="1:13" ht="15.2" customHeight="1" x14ac:dyDescent="0.2">
      <c r="A154" s="6" t="s">
        <v>1718</v>
      </c>
      <c r="B154" s="7" t="s">
        <v>1719</v>
      </c>
      <c r="C154" s="8">
        <v>1</v>
      </c>
      <c r="D154" s="9">
        <v>8</v>
      </c>
      <c r="E154" s="9">
        <v>8</v>
      </c>
      <c r="F154" s="10">
        <v>19.989999999999998</v>
      </c>
      <c r="G154" s="9">
        <v>19.989999999999998</v>
      </c>
      <c r="H154" s="8" t="s">
        <v>1293</v>
      </c>
      <c r="I154" s="7" t="s">
        <v>3185</v>
      </c>
      <c r="J154" s="11" t="s">
        <v>3202</v>
      </c>
      <c r="K154" s="7" t="s">
        <v>3323</v>
      </c>
      <c r="L154" s="7" t="s">
        <v>3407</v>
      </c>
      <c r="M154" s="12" t="str">
        <f>HYPERLINK("http://slimages.macys.com/is/image/MCY/3820941 ")</f>
        <v xml:space="preserve">http://slimages.macys.com/is/image/MCY/3820941 </v>
      </c>
    </row>
    <row r="155" spans="1:13" ht="15.2" customHeight="1" x14ac:dyDescent="0.2">
      <c r="A155" s="6" t="s">
        <v>375</v>
      </c>
      <c r="B155" s="7" t="s">
        <v>376</v>
      </c>
      <c r="C155" s="8">
        <v>1</v>
      </c>
      <c r="D155" s="9">
        <v>8</v>
      </c>
      <c r="E155" s="9">
        <v>8</v>
      </c>
      <c r="F155" s="10">
        <v>19.989999999999998</v>
      </c>
      <c r="G155" s="9">
        <v>19.989999999999998</v>
      </c>
      <c r="H155" s="8" t="s">
        <v>2807</v>
      </c>
      <c r="I155" s="7" t="s">
        <v>3321</v>
      </c>
      <c r="J155" s="11" t="s">
        <v>3231</v>
      </c>
      <c r="K155" s="7" t="s">
        <v>3387</v>
      </c>
      <c r="L155" s="7" t="s">
        <v>3425</v>
      </c>
      <c r="M155" s="12" t="str">
        <f>HYPERLINK("http://slimages.macys.com/is/image/MCY/3799636 ")</f>
        <v xml:space="preserve">http://slimages.macys.com/is/image/MCY/3799636 </v>
      </c>
    </row>
    <row r="156" spans="1:13" ht="15.2" customHeight="1" x14ac:dyDescent="0.2">
      <c r="A156" s="6" t="s">
        <v>4295</v>
      </c>
      <c r="B156" s="7" t="s">
        <v>4296</v>
      </c>
      <c r="C156" s="8">
        <v>1</v>
      </c>
      <c r="D156" s="9">
        <v>8</v>
      </c>
      <c r="E156" s="9">
        <v>8</v>
      </c>
      <c r="F156" s="10">
        <v>19.989999999999998</v>
      </c>
      <c r="G156" s="9">
        <v>19.989999999999998</v>
      </c>
      <c r="H156" s="8" t="s">
        <v>3424</v>
      </c>
      <c r="I156" s="7" t="s">
        <v>3203</v>
      </c>
      <c r="J156" s="11" t="s">
        <v>3220</v>
      </c>
      <c r="K156" s="7" t="s">
        <v>3387</v>
      </c>
      <c r="L156" s="7" t="s">
        <v>3425</v>
      </c>
      <c r="M156" s="12" t="str">
        <f>HYPERLINK("http://slimages.macys.com/is/image/MCY/3857787 ")</f>
        <v xml:space="preserve">http://slimages.macys.com/is/image/MCY/3857787 </v>
      </c>
    </row>
    <row r="157" spans="1:13" ht="15.2" customHeight="1" x14ac:dyDescent="0.2">
      <c r="A157" s="6" t="s">
        <v>90</v>
      </c>
      <c r="B157" s="7" t="s">
        <v>91</v>
      </c>
      <c r="C157" s="8">
        <v>2</v>
      </c>
      <c r="D157" s="9">
        <v>8</v>
      </c>
      <c r="E157" s="9">
        <v>16</v>
      </c>
      <c r="F157" s="10">
        <v>19.989999999999998</v>
      </c>
      <c r="G157" s="9">
        <v>39.979999999999997</v>
      </c>
      <c r="H157" s="8" t="s">
        <v>2807</v>
      </c>
      <c r="I157" s="7" t="s">
        <v>3321</v>
      </c>
      <c r="J157" s="11" t="s">
        <v>3186</v>
      </c>
      <c r="K157" s="7" t="s">
        <v>3387</v>
      </c>
      <c r="L157" s="7" t="s">
        <v>3425</v>
      </c>
      <c r="M157" s="12" t="str">
        <f>HYPERLINK("http://slimages.macys.com/is/image/MCY/3799636 ")</f>
        <v xml:space="preserve">http://slimages.macys.com/is/image/MCY/3799636 </v>
      </c>
    </row>
    <row r="158" spans="1:13" ht="15.2" customHeight="1" x14ac:dyDescent="0.2">
      <c r="A158" s="6" t="s">
        <v>3971</v>
      </c>
      <c r="B158" s="7" t="s">
        <v>3972</v>
      </c>
      <c r="C158" s="8">
        <v>1</v>
      </c>
      <c r="D158" s="9">
        <v>7.55</v>
      </c>
      <c r="E158" s="9">
        <v>7.55</v>
      </c>
      <c r="F158" s="10">
        <v>22.5</v>
      </c>
      <c r="G158" s="9">
        <v>22.5</v>
      </c>
      <c r="H158" s="8" t="s">
        <v>3973</v>
      </c>
      <c r="I158" s="7" t="s">
        <v>3185</v>
      </c>
      <c r="J158" s="11"/>
      <c r="K158" s="7" t="s">
        <v>3232</v>
      </c>
      <c r="L158" s="7" t="s">
        <v>3431</v>
      </c>
      <c r="M158" s="12" t="str">
        <f>HYPERLINK("http://slimages.macys.com/is/image/MCY/1506837 ")</f>
        <v xml:space="preserve">http://slimages.macys.com/is/image/MCY/1506837 </v>
      </c>
    </row>
    <row r="159" spans="1:13" ht="15.2" customHeight="1" x14ac:dyDescent="0.2">
      <c r="A159" s="6" t="s">
        <v>2413</v>
      </c>
      <c r="B159" s="7" t="s">
        <v>2414</v>
      </c>
      <c r="C159" s="8">
        <v>2</v>
      </c>
      <c r="D159" s="9">
        <v>7.55</v>
      </c>
      <c r="E159" s="9">
        <v>15.1</v>
      </c>
      <c r="F159" s="10">
        <v>22.5</v>
      </c>
      <c r="G159" s="9">
        <v>45</v>
      </c>
      <c r="H159" s="8" t="s">
        <v>3973</v>
      </c>
      <c r="I159" s="7" t="s">
        <v>3185</v>
      </c>
      <c r="J159" s="11"/>
      <c r="K159" s="7" t="s">
        <v>3232</v>
      </c>
      <c r="L159" s="7" t="s">
        <v>3431</v>
      </c>
      <c r="M159" s="12" t="str">
        <f>HYPERLINK("http://slimages.macys.com/is/image/MCY/1506837 ")</f>
        <v xml:space="preserve">http://slimages.macys.com/is/image/MCY/1506837 </v>
      </c>
    </row>
    <row r="160" spans="1:13" ht="15.2" customHeight="1" x14ac:dyDescent="0.2">
      <c r="A160" s="6" t="s">
        <v>1902</v>
      </c>
      <c r="B160" s="7" t="s">
        <v>1903</v>
      </c>
      <c r="C160" s="8">
        <v>1</v>
      </c>
      <c r="D160" s="9">
        <v>7.5</v>
      </c>
      <c r="E160" s="9">
        <v>7.5</v>
      </c>
      <c r="F160" s="10">
        <v>19.989999999999998</v>
      </c>
      <c r="G160" s="9">
        <v>19.989999999999998</v>
      </c>
      <c r="H160" s="8" t="s">
        <v>2818</v>
      </c>
      <c r="I160" s="7" t="s">
        <v>3234</v>
      </c>
      <c r="J160" s="11" t="s">
        <v>3202</v>
      </c>
      <c r="K160" s="7" t="s">
        <v>3323</v>
      </c>
      <c r="L160" s="7" t="s">
        <v>3418</v>
      </c>
      <c r="M160" s="12" t="str">
        <f>HYPERLINK("http://slimages.macys.com/is/image/MCY/3660171 ")</f>
        <v xml:space="preserve">http://slimages.macys.com/is/image/MCY/3660171 </v>
      </c>
    </row>
    <row r="161" spans="1:13" ht="15.2" customHeight="1" x14ac:dyDescent="0.2">
      <c r="A161" s="6" t="s">
        <v>3731</v>
      </c>
      <c r="B161" s="7" t="s">
        <v>3732</v>
      </c>
      <c r="C161" s="8">
        <v>2</v>
      </c>
      <c r="D161" s="9">
        <v>7</v>
      </c>
      <c r="E161" s="9">
        <v>14</v>
      </c>
      <c r="F161" s="10">
        <v>19.989999999999998</v>
      </c>
      <c r="G161" s="9">
        <v>39.979999999999997</v>
      </c>
      <c r="H161" s="8" t="s">
        <v>3436</v>
      </c>
      <c r="I161" s="7" t="s">
        <v>3185</v>
      </c>
      <c r="J161" s="11" t="s">
        <v>3220</v>
      </c>
      <c r="K161" s="7" t="s">
        <v>3323</v>
      </c>
      <c r="L161" s="7" t="s">
        <v>3371</v>
      </c>
      <c r="M161" s="12" t="str">
        <f>HYPERLINK("http://slimages.macys.com/is/image/MCY/3910801 ")</f>
        <v xml:space="preserve">http://slimages.macys.com/is/image/MCY/3910801 </v>
      </c>
    </row>
    <row r="162" spans="1:13" ht="15.2" customHeight="1" x14ac:dyDescent="0.2">
      <c r="A162" s="6" t="s">
        <v>714</v>
      </c>
      <c r="B162" s="7" t="s">
        <v>715</v>
      </c>
      <c r="C162" s="8">
        <v>1</v>
      </c>
      <c r="D162" s="9">
        <v>7</v>
      </c>
      <c r="E162" s="9">
        <v>7</v>
      </c>
      <c r="F162" s="10">
        <v>19.989999999999998</v>
      </c>
      <c r="G162" s="9">
        <v>19.989999999999998</v>
      </c>
      <c r="H162" s="8" t="s">
        <v>3436</v>
      </c>
      <c r="I162" s="7" t="s">
        <v>3185</v>
      </c>
      <c r="J162" s="11" t="s">
        <v>3231</v>
      </c>
      <c r="K162" s="7" t="s">
        <v>3323</v>
      </c>
      <c r="L162" s="7" t="s">
        <v>3371</v>
      </c>
      <c r="M162" s="12" t="str">
        <f>HYPERLINK("http://slimages.macys.com/is/image/MCY/3910801 ")</f>
        <v xml:space="preserve">http://slimages.macys.com/is/image/MCY/3910801 </v>
      </c>
    </row>
    <row r="163" spans="1:13" ht="15.2" customHeight="1" x14ac:dyDescent="0.2">
      <c r="A163" s="6" t="s">
        <v>1805</v>
      </c>
      <c r="B163" s="7" t="s">
        <v>1806</v>
      </c>
      <c r="C163" s="8">
        <v>1</v>
      </c>
      <c r="D163" s="9">
        <v>7</v>
      </c>
      <c r="E163" s="9">
        <v>7</v>
      </c>
      <c r="F163" s="10">
        <v>19.989999999999998</v>
      </c>
      <c r="G163" s="9">
        <v>19.989999999999998</v>
      </c>
      <c r="H163" s="8" t="s">
        <v>2416</v>
      </c>
      <c r="I163" s="7" t="s">
        <v>3252</v>
      </c>
      <c r="J163" s="11" t="s">
        <v>3202</v>
      </c>
      <c r="K163" s="7" t="s">
        <v>3387</v>
      </c>
      <c r="L163" s="7" t="s">
        <v>3429</v>
      </c>
      <c r="M163" s="12" t="str">
        <f>HYPERLINK("http://slimages.macys.com/is/image/MCY/3774123 ")</f>
        <v xml:space="preserve">http://slimages.macys.com/is/image/MCY/3774123 </v>
      </c>
    </row>
    <row r="164" spans="1:13" ht="15.2" customHeight="1" x14ac:dyDescent="0.2">
      <c r="A164" s="6" t="s">
        <v>3438</v>
      </c>
      <c r="B164" s="7" t="s">
        <v>3439</v>
      </c>
      <c r="C164" s="8">
        <v>1</v>
      </c>
      <c r="D164" s="9">
        <v>7</v>
      </c>
      <c r="E164" s="9">
        <v>7</v>
      </c>
      <c r="F164" s="10">
        <v>19.989999999999998</v>
      </c>
      <c r="G164" s="9">
        <v>19.989999999999998</v>
      </c>
      <c r="H164" s="8" t="s">
        <v>3436</v>
      </c>
      <c r="I164" s="7" t="s">
        <v>3321</v>
      </c>
      <c r="J164" s="11" t="s">
        <v>3186</v>
      </c>
      <c r="K164" s="7" t="s">
        <v>3323</v>
      </c>
      <c r="L164" s="7" t="s">
        <v>3371</v>
      </c>
      <c r="M164" s="12" t="str">
        <f>HYPERLINK("http://slimages.macys.com/is/image/MCY/3910801 ")</f>
        <v xml:space="preserve">http://slimages.macys.com/is/image/MCY/3910801 </v>
      </c>
    </row>
    <row r="165" spans="1:13" ht="15.2" customHeight="1" x14ac:dyDescent="0.2">
      <c r="A165" s="6" t="s">
        <v>718</v>
      </c>
      <c r="B165" s="7" t="s">
        <v>719</v>
      </c>
      <c r="C165" s="8">
        <v>1</v>
      </c>
      <c r="D165" s="9">
        <v>6.75</v>
      </c>
      <c r="E165" s="9">
        <v>6.75</v>
      </c>
      <c r="F165" s="10">
        <v>12.99</v>
      </c>
      <c r="G165" s="9">
        <v>12.99</v>
      </c>
      <c r="H165" s="8" t="s">
        <v>720</v>
      </c>
      <c r="I165" s="7" t="s">
        <v>3263</v>
      </c>
      <c r="J165" s="11" t="s">
        <v>3186</v>
      </c>
      <c r="K165" s="7" t="s">
        <v>3387</v>
      </c>
      <c r="L165" s="7" t="s">
        <v>3344</v>
      </c>
      <c r="M165" s="12" t="str">
        <f>HYPERLINK("http://slimages.macys.com/is/image/MCY/3859746 ")</f>
        <v xml:space="preserve">http://slimages.macys.com/is/image/MCY/3859746 </v>
      </c>
    </row>
    <row r="166" spans="1:13" ht="15.2" customHeight="1" x14ac:dyDescent="0.2">
      <c r="A166" s="6" t="s">
        <v>92</v>
      </c>
      <c r="B166" s="7" t="s">
        <v>93</v>
      </c>
      <c r="C166" s="8">
        <v>1</v>
      </c>
      <c r="D166" s="9">
        <v>6.35</v>
      </c>
      <c r="E166" s="9">
        <v>6.35</v>
      </c>
      <c r="F166" s="10">
        <v>13.99</v>
      </c>
      <c r="G166" s="9">
        <v>13.99</v>
      </c>
      <c r="H166" s="8" t="s">
        <v>4131</v>
      </c>
      <c r="I166" s="7" t="s">
        <v>3339</v>
      </c>
      <c r="J166" s="11" t="s">
        <v>3186</v>
      </c>
      <c r="K166" s="7" t="s">
        <v>3387</v>
      </c>
      <c r="L166" s="7" t="s">
        <v>3404</v>
      </c>
      <c r="M166" s="12" t="str">
        <f>HYPERLINK("http://slimages.macys.com/is/image/MCY/3845015 ")</f>
        <v xml:space="preserve">http://slimages.macys.com/is/image/MCY/3845015 </v>
      </c>
    </row>
    <row r="167" spans="1:13" ht="15.2" customHeight="1" x14ac:dyDescent="0.2">
      <c r="A167" s="6" t="s">
        <v>2418</v>
      </c>
      <c r="B167" s="7" t="s">
        <v>2419</v>
      </c>
      <c r="C167" s="8">
        <v>1</v>
      </c>
      <c r="D167" s="9">
        <v>6.35</v>
      </c>
      <c r="E167" s="9">
        <v>6.35</v>
      </c>
      <c r="F167" s="10">
        <v>12.99</v>
      </c>
      <c r="G167" s="9">
        <v>12.99</v>
      </c>
      <c r="H167" s="8" t="s">
        <v>2420</v>
      </c>
      <c r="I167" s="7" t="s">
        <v>3252</v>
      </c>
      <c r="J167" s="11" t="s">
        <v>3441</v>
      </c>
      <c r="K167" s="7" t="s">
        <v>3387</v>
      </c>
      <c r="L167" s="7" t="s">
        <v>3440</v>
      </c>
      <c r="M167" s="12" t="str">
        <f>HYPERLINK("http://slimages.macys.com/is/image/MCY/3687127 ")</f>
        <v xml:space="preserve">http://slimages.macys.com/is/image/MCY/3687127 </v>
      </c>
    </row>
    <row r="168" spans="1:13" ht="15.2" customHeight="1" x14ac:dyDescent="0.2">
      <c r="A168" s="6" t="s">
        <v>94</v>
      </c>
      <c r="B168" s="7" t="s">
        <v>95</v>
      </c>
      <c r="C168" s="8">
        <v>1</v>
      </c>
      <c r="D168" s="9">
        <v>6.3</v>
      </c>
      <c r="E168" s="9">
        <v>6.3</v>
      </c>
      <c r="F168" s="10">
        <v>14.99</v>
      </c>
      <c r="G168" s="9">
        <v>14.99</v>
      </c>
      <c r="H168" s="8" t="s">
        <v>2279</v>
      </c>
      <c r="I168" s="7" t="s">
        <v>3185</v>
      </c>
      <c r="J168" s="11" t="s">
        <v>3186</v>
      </c>
      <c r="K168" s="7" t="s">
        <v>3300</v>
      </c>
      <c r="L168" s="7" t="s">
        <v>3301</v>
      </c>
      <c r="M168" s="12" t="str">
        <f>HYPERLINK("http://slimages.macys.com/is/image/MCY/3876250 ")</f>
        <v xml:space="preserve">http://slimages.macys.com/is/image/MCY/3876250 </v>
      </c>
    </row>
    <row r="169" spans="1:13" ht="15.2" customHeight="1" x14ac:dyDescent="0.2">
      <c r="A169" s="6" t="s">
        <v>96</v>
      </c>
      <c r="B169" s="7" t="s">
        <v>97</v>
      </c>
      <c r="C169" s="8">
        <v>1</v>
      </c>
      <c r="D169" s="9">
        <v>6.25</v>
      </c>
      <c r="E169" s="9">
        <v>6.25</v>
      </c>
      <c r="F169" s="10">
        <v>13.99</v>
      </c>
      <c r="G169" s="9">
        <v>13.99</v>
      </c>
      <c r="H169" s="8" t="s">
        <v>4322</v>
      </c>
      <c r="I169" s="7" t="s">
        <v>3381</v>
      </c>
      <c r="J169" s="11" t="s">
        <v>3231</v>
      </c>
      <c r="K169" s="7" t="s">
        <v>3387</v>
      </c>
      <c r="L169" s="7" t="s">
        <v>3371</v>
      </c>
      <c r="M169" s="12" t="str">
        <f>HYPERLINK("http://slimages.macys.com/is/image/MCY/3879621 ")</f>
        <v xml:space="preserve">http://slimages.macys.com/is/image/MCY/3879621 </v>
      </c>
    </row>
    <row r="170" spans="1:13" ht="15.2" customHeight="1" x14ac:dyDescent="0.2">
      <c r="A170" s="6" t="s">
        <v>1807</v>
      </c>
      <c r="B170" s="7" t="s">
        <v>1808</v>
      </c>
      <c r="C170" s="8">
        <v>1</v>
      </c>
      <c r="D170" s="9">
        <v>6.25</v>
      </c>
      <c r="E170" s="9">
        <v>6.25</v>
      </c>
      <c r="F170" s="10">
        <v>13.99</v>
      </c>
      <c r="G170" s="9">
        <v>13.99</v>
      </c>
      <c r="H170" s="8" t="s">
        <v>4322</v>
      </c>
      <c r="I170" s="7" t="s">
        <v>3381</v>
      </c>
      <c r="J170" s="11" t="s">
        <v>3202</v>
      </c>
      <c r="K170" s="7" t="s">
        <v>3387</v>
      </c>
      <c r="L170" s="7" t="s">
        <v>3371</v>
      </c>
      <c r="M170" s="12" t="str">
        <f>HYPERLINK("http://slimages.macys.com/is/image/MCY/3879621 ")</f>
        <v xml:space="preserve">http://slimages.macys.com/is/image/MCY/3879621 </v>
      </c>
    </row>
    <row r="171" spans="1:13" ht="15.2" customHeight="1" x14ac:dyDescent="0.2">
      <c r="A171" s="6" t="s">
        <v>98</v>
      </c>
      <c r="B171" s="7" t="s">
        <v>99</v>
      </c>
      <c r="C171" s="8">
        <v>1</v>
      </c>
      <c r="D171" s="9">
        <v>6</v>
      </c>
      <c r="E171" s="9">
        <v>6</v>
      </c>
      <c r="F171" s="10">
        <v>13.99</v>
      </c>
      <c r="G171" s="9">
        <v>13.99</v>
      </c>
      <c r="H171" s="8" t="s">
        <v>3452</v>
      </c>
      <c r="I171" s="7" t="s">
        <v>3189</v>
      </c>
      <c r="J171" s="11" t="s">
        <v>3220</v>
      </c>
      <c r="K171" s="7" t="s">
        <v>3387</v>
      </c>
      <c r="L171" s="7" t="s">
        <v>3371</v>
      </c>
      <c r="M171" s="12" t="str">
        <f>HYPERLINK("http://slimages.macys.com/is/image/MCY/3910835 ")</f>
        <v xml:space="preserve">http://slimages.macys.com/is/image/MCY/3910835 </v>
      </c>
    </row>
    <row r="172" spans="1:13" ht="15.2" customHeight="1" x14ac:dyDescent="0.2">
      <c r="A172" s="6" t="s">
        <v>100</v>
      </c>
      <c r="B172" s="7" t="s">
        <v>101</v>
      </c>
      <c r="C172" s="8">
        <v>1</v>
      </c>
      <c r="D172" s="9">
        <v>6</v>
      </c>
      <c r="E172" s="9">
        <v>6</v>
      </c>
      <c r="F172" s="10">
        <v>13.99</v>
      </c>
      <c r="G172" s="9">
        <v>13.99</v>
      </c>
      <c r="H172" s="8" t="s">
        <v>3452</v>
      </c>
      <c r="I172" s="7" t="s">
        <v>3189</v>
      </c>
      <c r="J172" s="11" t="s">
        <v>3186</v>
      </c>
      <c r="K172" s="7" t="s">
        <v>3387</v>
      </c>
      <c r="L172" s="7" t="s">
        <v>3371</v>
      </c>
      <c r="M172" s="12" t="str">
        <f>HYPERLINK("http://slimages.macys.com/is/image/MCY/3910835 ")</f>
        <v xml:space="preserve">http://slimages.macys.com/is/image/MCY/3910835 </v>
      </c>
    </row>
    <row r="173" spans="1:13" ht="15.2" customHeight="1" x14ac:dyDescent="0.2">
      <c r="A173" s="6" t="s">
        <v>960</v>
      </c>
      <c r="B173" s="7" t="s">
        <v>961</v>
      </c>
      <c r="C173" s="8">
        <v>1</v>
      </c>
      <c r="D173" s="9">
        <v>6</v>
      </c>
      <c r="E173" s="9">
        <v>6</v>
      </c>
      <c r="F173" s="10">
        <v>12.99</v>
      </c>
      <c r="G173" s="9">
        <v>12.99</v>
      </c>
      <c r="H173" s="8" t="s">
        <v>962</v>
      </c>
      <c r="I173" s="7" t="s">
        <v>3321</v>
      </c>
      <c r="J173" s="11" t="s">
        <v>3220</v>
      </c>
      <c r="K173" s="7" t="s">
        <v>3387</v>
      </c>
      <c r="L173" s="7" t="s">
        <v>3410</v>
      </c>
      <c r="M173" s="12" t="str">
        <f>HYPERLINK("http://slimages.macys.com/is/image/MCY/3915550 ")</f>
        <v xml:space="preserve">http://slimages.macys.com/is/image/MCY/3915550 </v>
      </c>
    </row>
    <row r="174" spans="1:13" ht="15.2" customHeight="1" x14ac:dyDescent="0.2">
      <c r="A174" s="6" t="s">
        <v>102</v>
      </c>
      <c r="B174" s="7" t="s">
        <v>103</v>
      </c>
      <c r="C174" s="8">
        <v>1</v>
      </c>
      <c r="D174" s="9">
        <v>5.95</v>
      </c>
      <c r="E174" s="9">
        <v>5.95</v>
      </c>
      <c r="F174" s="10">
        <v>12.99</v>
      </c>
      <c r="G174" s="9">
        <v>12.99</v>
      </c>
      <c r="H174" s="8" t="s">
        <v>3459</v>
      </c>
      <c r="I174" s="7" t="s">
        <v>3252</v>
      </c>
      <c r="J174" s="11" t="s">
        <v>3242</v>
      </c>
      <c r="K174" s="7" t="s">
        <v>3387</v>
      </c>
      <c r="L174" s="7" t="s">
        <v>3429</v>
      </c>
      <c r="M174" s="12" t="str">
        <f>HYPERLINK("http://slimages.macys.com/is/image/MCY/3700228 ")</f>
        <v xml:space="preserve">http://slimages.macys.com/is/image/MCY/3700228 </v>
      </c>
    </row>
    <row r="175" spans="1:13" ht="15.2" customHeight="1" x14ac:dyDescent="0.2">
      <c r="A175" s="6" t="s">
        <v>723</v>
      </c>
      <c r="B175" s="7" t="s">
        <v>724</v>
      </c>
      <c r="C175" s="8">
        <v>1</v>
      </c>
      <c r="D175" s="9">
        <v>5.95</v>
      </c>
      <c r="E175" s="9">
        <v>5.95</v>
      </c>
      <c r="F175" s="10">
        <v>12.99</v>
      </c>
      <c r="G175" s="9">
        <v>12.99</v>
      </c>
      <c r="H175" s="8" t="s">
        <v>2838</v>
      </c>
      <c r="I175" s="7" t="s">
        <v>3376</v>
      </c>
      <c r="J175" s="11" t="s">
        <v>3231</v>
      </c>
      <c r="K175" s="7" t="s">
        <v>3387</v>
      </c>
      <c r="L175" s="7" t="s">
        <v>3429</v>
      </c>
      <c r="M175" s="12" t="str">
        <f>HYPERLINK("http://slimages.macys.com/is/image/MCY/3947094 ")</f>
        <v xml:space="preserve">http://slimages.macys.com/is/image/MCY/3947094 </v>
      </c>
    </row>
    <row r="176" spans="1:13" ht="15.2" customHeight="1" x14ac:dyDescent="0.2">
      <c r="A176" s="6" t="s">
        <v>1904</v>
      </c>
      <c r="B176" s="7" t="s">
        <v>1905</v>
      </c>
      <c r="C176" s="8">
        <v>4</v>
      </c>
      <c r="D176" s="9">
        <v>5.95</v>
      </c>
      <c r="E176" s="9">
        <v>23.8</v>
      </c>
      <c r="F176" s="10">
        <v>12.99</v>
      </c>
      <c r="G176" s="9">
        <v>51.96</v>
      </c>
      <c r="H176" s="8" t="s">
        <v>3462</v>
      </c>
      <c r="I176" s="7" t="s">
        <v>3386</v>
      </c>
      <c r="J176" s="11" t="s">
        <v>3202</v>
      </c>
      <c r="K176" s="7" t="s">
        <v>3387</v>
      </c>
      <c r="L176" s="7" t="s">
        <v>3429</v>
      </c>
      <c r="M176" s="12" t="str">
        <f>HYPERLINK("http://slimages.macys.com/is/image/MCY/3671497 ")</f>
        <v xml:space="preserve">http://slimages.macys.com/is/image/MCY/3671497 </v>
      </c>
    </row>
    <row r="177" spans="1:13" ht="15.2" customHeight="1" x14ac:dyDescent="0.2">
      <c r="A177" s="6" t="s">
        <v>104</v>
      </c>
      <c r="B177" s="7" t="s">
        <v>105</v>
      </c>
      <c r="C177" s="8">
        <v>1</v>
      </c>
      <c r="D177" s="9">
        <v>5.75</v>
      </c>
      <c r="E177" s="9">
        <v>5.75</v>
      </c>
      <c r="F177" s="10">
        <v>14.5</v>
      </c>
      <c r="G177" s="9">
        <v>14.5</v>
      </c>
      <c r="H177" s="8" t="s">
        <v>3741</v>
      </c>
      <c r="I177" s="7" t="s">
        <v>3234</v>
      </c>
      <c r="J177" s="11" t="s">
        <v>3186</v>
      </c>
      <c r="K177" s="7" t="s">
        <v>3241</v>
      </c>
      <c r="L177" s="7" t="s">
        <v>3427</v>
      </c>
      <c r="M177" s="12" t="str">
        <f>HYPERLINK("http://slimages.macys.com/is/image/MCY/3938464 ")</f>
        <v xml:space="preserve">http://slimages.macys.com/is/image/MCY/3938464 </v>
      </c>
    </row>
    <row r="178" spans="1:13" ht="15.2" customHeight="1" x14ac:dyDescent="0.2">
      <c r="A178" s="6" t="s">
        <v>106</v>
      </c>
      <c r="B178" s="7" t="s">
        <v>107</v>
      </c>
      <c r="C178" s="8">
        <v>1</v>
      </c>
      <c r="D178" s="9">
        <v>5.65</v>
      </c>
      <c r="E178" s="9">
        <v>5.65</v>
      </c>
      <c r="F178" s="10">
        <v>12.99</v>
      </c>
      <c r="G178" s="9">
        <v>12.99</v>
      </c>
      <c r="H178" s="8" t="s">
        <v>436</v>
      </c>
      <c r="I178" s="7" t="s">
        <v>3214</v>
      </c>
      <c r="J178" s="11" t="s">
        <v>3242</v>
      </c>
      <c r="K178" s="7" t="s">
        <v>3387</v>
      </c>
      <c r="L178" s="7" t="s">
        <v>3443</v>
      </c>
      <c r="M178" s="12" t="str">
        <f>HYPERLINK("http://slimages.macys.com/is/image/MCY/3797939 ")</f>
        <v xml:space="preserve">http://slimages.macys.com/is/image/MCY/3797939 </v>
      </c>
    </row>
    <row r="179" spans="1:13" ht="15.2" customHeight="1" x14ac:dyDescent="0.2">
      <c r="A179" s="6" t="s">
        <v>1344</v>
      </c>
      <c r="B179" s="7" t="s">
        <v>1345</v>
      </c>
      <c r="C179" s="8">
        <v>2</v>
      </c>
      <c r="D179" s="9">
        <v>5.5</v>
      </c>
      <c r="E179" s="9">
        <v>11</v>
      </c>
      <c r="F179" s="10">
        <v>16.989999999999998</v>
      </c>
      <c r="G179" s="9">
        <v>33.979999999999997</v>
      </c>
      <c r="H179" s="8" t="s">
        <v>3469</v>
      </c>
      <c r="I179" s="7" t="s">
        <v>3252</v>
      </c>
      <c r="J179" s="11" t="s">
        <v>3202</v>
      </c>
      <c r="K179" s="7" t="s">
        <v>3387</v>
      </c>
      <c r="L179" s="7" t="s">
        <v>3442</v>
      </c>
      <c r="M179" s="12" t="str">
        <f>HYPERLINK("http://slimages.macys.com/is/image/MCY/3953466 ")</f>
        <v xml:space="preserve">http://slimages.macys.com/is/image/MCY/3953466 </v>
      </c>
    </row>
    <row r="180" spans="1:13" ht="15.2" customHeight="1" x14ac:dyDescent="0.2">
      <c r="A180" s="6" t="s">
        <v>1346</v>
      </c>
      <c r="B180" s="7" t="s">
        <v>1347</v>
      </c>
      <c r="C180" s="8">
        <v>1</v>
      </c>
      <c r="D180" s="9">
        <v>5.5</v>
      </c>
      <c r="E180" s="9">
        <v>5.5</v>
      </c>
      <c r="F180" s="10">
        <v>16.989999999999998</v>
      </c>
      <c r="G180" s="9">
        <v>16.989999999999998</v>
      </c>
      <c r="H180" s="8" t="s">
        <v>3469</v>
      </c>
      <c r="I180" s="7" t="s">
        <v>3252</v>
      </c>
      <c r="J180" s="11" t="s">
        <v>3220</v>
      </c>
      <c r="K180" s="7" t="s">
        <v>3387</v>
      </c>
      <c r="L180" s="7" t="s">
        <v>3442</v>
      </c>
      <c r="M180" s="12" t="str">
        <f>HYPERLINK("http://slimages.macys.com/is/image/MCY/3953466 ")</f>
        <v xml:space="preserve">http://slimages.macys.com/is/image/MCY/3953466 </v>
      </c>
    </row>
    <row r="181" spans="1:13" ht="15.2" customHeight="1" x14ac:dyDescent="0.2">
      <c r="A181" s="6" t="s">
        <v>3470</v>
      </c>
      <c r="B181" s="7" t="s">
        <v>3471</v>
      </c>
      <c r="C181" s="8">
        <v>5</v>
      </c>
      <c r="D181" s="9">
        <v>5.5</v>
      </c>
      <c r="E181" s="9">
        <v>27.5</v>
      </c>
      <c r="F181" s="10">
        <v>16.989999999999998</v>
      </c>
      <c r="G181" s="9">
        <v>84.95</v>
      </c>
      <c r="H181" s="8" t="s">
        <v>3469</v>
      </c>
      <c r="I181" s="7" t="s">
        <v>3437</v>
      </c>
      <c r="J181" s="11" t="s">
        <v>3202</v>
      </c>
      <c r="K181" s="7" t="s">
        <v>3387</v>
      </c>
      <c r="L181" s="7" t="s">
        <v>3442</v>
      </c>
      <c r="M181" s="12" t="str">
        <f>HYPERLINK("http://slimages.macys.com/is/image/MCY/3953470 ")</f>
        <v xml:space="preserve">http://slimages.macys.com/is/image/MCY/3953470 </v>
      </c>
    </row>
    <row r="182" spans="1:13" ht="15.2" customHeight="1" x14ac:dyDescent="0.2">
      <c r="A182" s="6" t="s">
        <v>3467</v>
      </c>
      <c r="B182" s="7" t="s">
        <v>3468</v>
      </c>
      <c r="C182" s="8">
        <v>5</v>
      </c>
      <c r="D182" s="9">
        <v>5.5</v>
      </c>
      <c r="E182" s="9">
        <v>27.5</v>
      </c>
      <c r="F182" s="10">
        <v>16.989999999999998</v>
      </c>
      <c r="G182" s="9">
        <v>84.95</v>
      </c>
      <c r="H182" s="8" t="s">
        <v>3469</v>
      </c>
      <c r="I182" s="7" t="s">
        <v>3235</v>
      </c>
      <c r="J182" s="11" t="s">
        <v>3202</v>
      </c>
      <c r="K182" s="7" t="s">
        <v>3387</v>
      </c>
      <c r="L182" s="7" t="s">
        <v>3442</v>
      </c>
      <c r="M182" s="12" t="str">
        <f>HYPERLINK("http://slimages.macys.com/is/image/MCY/3953467 ")</f>
        <v xml:space="preserve">http://slimages.macys.com/is/image/MCY/3953467 </v>
      </c>
    </row>
    <row r="183" spans="1:13" ht="15.2" customHeight="1" x14ac:dyDescent="0.2">
      <c r="A183" s="6" t="s">
        <v>3474</v>
      </c>
      <c r="B183" s="7" t="s">
        <v>3475</v>
      </c>
      <c r="C183" s="8">
        <v>1</v>
      </c>
      <c r="D183" s="9">
        <v>5.5</v>
      </c>
      <c r="E183" s="9">
        <v>5.5</v>
      </c>
      <c r="F183" s="10">
        <v>16.989999999999998</v>
      </c>
      <c r="G183" s="9">
        <v>16.989999999999998</v>
      </c>
      <c r="H183" s="8" t="s">
        <v>3469</v>
      </c>
      <c r="I183" s="7" t="s">
        <v>3214</v>
      </c>
      <c r="J183" s="11" t="s">
        <v>3220</v>
      </c>
      <c r="K183" s="7" t="s">
        <v>3387</v>
      </c>
      <c r="L183" s="7" t="s">
        <v>3442</v>
      </c>
      <c r="M183" s="12" t="str">
        <f>HYPERLINK("http://slimages.macys.com/is/image/MCY/3890955 ")</f>
        <v xml:space="preserve">http://slimages.macys.com/is/image/MCY/3890955 </v>
      </c>
    </row>
    <row r="184" spans="1:13" ht="15.2" customHeight="1" x14ac:dyDescent="0.2">
      <c r="A184" s="6" t="s">
        <v>3745</v>
      </c>
      <c r="B184" s="7" t="s">
        <v>3746</v>
      </c>
      <c r="C184" s="8">
        <v>1</v>
      </c>
      <c r="D184" s="9">
        <v>5.5</v>
      </c>
      <c r="E184" s="9">
        <v>5.5</v>
      </c>
      <c r="F184" s="10">
        <v>16.989999999999998</v>
      </c>
      <c r="G184" s="9">
        <v>16.989999999999998</v>
      </c>
      <c r="H184" s="8" t="s">
        <v>3469</v>
      </c>
      <c r="I184" s="7" t="s">
        <v>3235</v>
      </c>
      <c r="J184" s="11" t="s">
        <v>3220</v>
      </c>
      <c r="K184" s="7" t="s">
        <v>3387</v>
      </c>
      <c r="L184" s="7" t="s">
        <v>3442</v>
      </c>
      <c r="M184" s="12" t="str">
        <f>HYPERLINK("http://slimages.macys.com/is/image/MCY/3953467 ")</f>
        <v xml:space="preserve">http://slimages.macys.com/is/image/MCY/3953467 </v>
      </c>
    </row>
    <row r="185" spans="1:13" ht="15.2" customHeight="1" x14ac:dyDescent="0.2">
      <c r="A185" s="6" t="s">
        <v>1139</v>
      </c>
      <c r="B185" s="7" t="s">
        <v>1140</v>
      </c>
      <c r="C185" s="8">
        <v>1</v>
      </c>
      <c r="D185" s="9">
        <v>5.5</v>
      </c>
      <c r="E185" s="9">
        <v>5.5</v>
      </c>
      <c r="F185" s="10">
        <v>16.989999999999998</v>
      </c>
      <c r="G185" s="9">
        <v>16.989999999999998</v>
      </c>
      <c r="H185" s="8" t="s">
        <v>3469</v>
      </c>
      <c r="I185" s="7" t="s">
        <v>3234</v>
      </c>
      <c r="J185" s="11" t="s">
        <v>3202</v>
      </c>
      <c r="K185" s="7" t="s">
        <v>3387</v>
      </c>
      <c r="L185" s="7" t="s">
        <v>3442</v>
      </c>
      <c r="M185" s="12" t="str">
        <f>HYPERLINK("http://slimages.macys.com/is/image/MCY/3953469 ")</f>
        <v xml:space="preserve">http://slimages.macys.com/is/image/MCY/3953469 </v>
      </c>
    </row>
    <row r="186" spans="1:13" ht="15.2" customHeight="1" x14ac:dyDescent="0.2">
      <c r="A186" s="6" t="s">
        <v>3472</v>
      </c>
      <c r="B186" s="7" t="s">
        <v>3473</v>
      </c>
      <c r="C186" s="8">
        <v>1</v>
      </c>
      <c r="D186" s="9">
        <v>5.5</v>
      </c>
      <c r="E186" s="9">
        <v>5.5</v>
      </c>
      <c r="F186" s="10">
        <v>16.989999999999998</v>
      </c>
      <c r="G186" s="9">
        <v>16.989999999999998</v>
      </c>
      <c r="H186" s="8" t="s">
        <v>3469</v>
      </c>
      <c r="I186" s="7" t="s">
        <v>3437</v>
      </c>
      <c r="J186" s="11" t="s">
        <v>3220</v>
      </c>
      <c r="K186" s="7" t="s">
        <v>3387</v>
      </c>
      <c r="L186" s="7" t="s">
        <v>3442</v>
      </c>
      <c r="M186" s="12" t="str">
        <f>HYPERLINK("http://slimages.macys.com/is/image/MCY/3953470 ")</f>
        <v xml:space="preserve">http://slimages.macys.com/is/image/MCY/3953470 </v>
      </c>
    </row>
    <row r="187" spans="1:13" ht="15.2" customHeight="1" x14ac:dyDescent="0.2">
      <c r="A187" s="6" t="s">
        <v>3478</v>
      </c>
      <c r="B187" s="7" t="s">
        <v>3479</v>
      </c>
      <c r="C187" s="8">
        <v>2</v>
      </c>
      <c r="D187" s="9">
        <v>5.5</v>
      </c>
      <c r="E187" s="9">
        <v>11</v>
      </c>
      <c r="F187" s="10">
        <v>16.989999999999998</v>
      </c>
      <c r="G187" s="9">
        <v>33.979999999999997</v>
      </c>
      <c r="H187" s="8" t="s">
        <v>3469</v>
      </c>
      <c r="I187" s="7" t="s">
        <v>3437</v>
      </c>
      <c r="J187" s="11" t="s">
        <v>3186</v>
      </c>
      <c r="K187" s="7" t="s">
        <v>3387</v>
      </c>
      <c r="L187" s="7" t="s">
        <v>3442</v>
      </c>
      <c r="M187" s="12" t="str">
        <f>HYPERLINK("http://slimages.macys.com/is/image/MCY/3953470 ")</f>
        <v xml:space="preserve">http://slimages.macys.com/is/image/MCY/3953470 </v>
      </c>
    </row>
    <row r="188" spans="1:13" ht="15.2" customHeight="1" x14ac:dyDescent="0.2">
      <c r="A188" s="6" t="s">
        <v>680</v>
      </c>
      <c r="B188" s="7" t="s">
        <v>681</v>
      </c>
      <c r="C188" s="8">
        <v>1</v>
      </c>
      <c r="D188" s="9">
        <v>5.5</v>
      </c>
      <c r="E188" s="9">
        <v>5.5</v>
      </c>
      <c r="F188" s="10">
        <v>16.989999999999998</v>
      </c>
      <c r="G188" s="9">
        <v>16.989999999999998</v>
      </c>
      <c r="H188" s="8" t="s">
        <v>3469</v>
      </c>
      <c r="I188" s="7" t="s">
        <v>3234</v>
      </c>
      <c r="J188" s="11" t="s">
        <v>3231</v>
      </c>
      <c r="K188" s="7" t="s">
        <v>3387</v>
      </c>
      <c r="L188" s="7" t="s">
        <v>3442</v>
      </c>
      <c r="M188" s="12" t="str">
        <f>HYPERLINK("http://slimages.macys.com/is/image/MCY/3953469 ")</f>
        <v xml:space="preserve">http://slimages.macys.com/is/image/MCY/3953469 </v>
      </c>
    </row>
    <row r="189" spans="1:13" ht="15.2" customHeight="1" x14ac:dyDescent="0.2">
      <c r="A189" s="6" t="s">
        <v>4134</v>
      </c>
      <c r="B189" s="7" t="s">
        <v>4135</v>
      </c>
      <c r="C189" s="8">
        <v>2</v>
      </c>
      <c r="D189" s="9">
        <v>5.5</v>
      </c>
      <c r="E189" s="9">
        <v>11</v>
      </c>
      <c r="F189" s="10">
        <v>16.989999999999998</v>
      </c>
      <c r="G189" s="9">
        <v>33.979999999999997</v>
      </c>
      <c r="H189" s="8" t="s">
        <v>3469</v>
      </c>
      <c r="I189" s="7" t="s">
        <v>3235</v>
      </c>
      <c r="J189" s="11" t="s">
        <v>3186</v>
      </c>
      <c r="K189" s="7" t="s">
        <v>3387</v>
      </c>
      <c r="L189" s="7" t="s">
        <v>3442</v>
      </c>
      <c r="M189" s="12" t="str">
        <f>HYPERLINK("http://slimages.macys.com/is/image/MCY/3953467 ")</f>
        <v xml:space="preserve">http://slimages.macys.com/is/image/MCY/3953467 </v>
      </c>
    </row>
    <row r="190" spans="1:13" ht="15.2" customHeight="1" x14ac:dyDescent="0.2">
      <c r="A190" s="6" t="s">
        <v>2290</v>
      </c>
      <c r="B190" s="7" t="s">
        <v>2291</v>
      </c>
      <c r="C190" s="8">
        <v>1</v>
      </c>
      <c r="D190" s="9">
        <v>5.46</v>
      </c>
      <c r="E190" s="9">
        <v>5.46</v>
      </c>
      <c r="F190" s="10">
        <v>12.99</v>
      </c>
      <c r="G190" s="9">
        <v>12.99</v>
      </c>
      <c r="H190" s="8" t="s">
        <v>3751</v>
      </c>
      <c r="I190" s="7" t="s">
        <v>3394</v>
      </c>
      <c r="J190" s="11" t="s">
        <v>3186</v>
      </c>
      <c r="K190" s="7" t="s">
        <v>3300</v>
      </c>
      <c r="L190" s="7" t="s">
        <v>3301</v>
      </c>
      <c r="M190" s="12" t="str">
        <f>HYPERLINK("http://slimages.macys.com/is/image/MCY/3857696 ")</f>
        <v xml:space="preserve">http://slimages.macys.com/is/image/MCY/3857696 </v>
      </c>
    </row>
    <row r="191" spans="1:13" ht="15.2" customHeight="1" x14ac:dyDescent="0.2">
      <c r="A191" s="6" t="s">
        <v>108</v>
      </c>
      <c r="B191" s="7" t="s">
        <v>109</v>
      </c>
      <c r="C191" s="8">
        <v>1</v>
      </c>
      <c r="D191" s="9">
        <v>5.46</v>
      </c>
      <c r="E191" s="9">
        <v>5.46</v>
      </c>
      <c r="F191" s="10">
        <v>12.99</v>
      </c>
      <c r="G191" s="9">
        <v>12.99</v>
      </c>
      <c r="H191" s="8" t="s">
        <v>110</v>
      </c>
      <c r="I191" s="7" t="s">
        <v>3235</v>
      </c>
      <c r="J191" s="11" t="s">
        <v>3186</v>
      </c>
      <c r="K191" s="7" t="s">
        <v>3300</v>
      </c>
      <c r="L191" s="7" t="s">
        <v>3301</v>
      </c>
      <c r="M191" s="12" t="str">
        <f>HYPERLINK("http://slimages.macys.com/is/image/MCY/3899768 ")</f>
        <v xml:space="preserve">http://slimages.macys.com/is/image/MCY/3899768 </v>
      </c>
    </row>
    <row r="192" spans="1:13" ht="15.2" customHeight="1" x14ac:dyDescent="0.2">
      <c r="A192" s="6" t="s">
        <v>1999</v>
      </c>
      <c r="B192" s="7" t="s">
        <v>2000</v>
      </c>
      <c r="C192" s="8">
        <v>1</v>
      </c>
      <c r="D192" s="9">
        <v>5.46</v>
      </c>
      <c r="E192" s="9">
        <v>5.46</v>
      </c>
      <c r="F192" s="10">
        <v>12.99</v>
      </c>
      <c r="G192" s="9">
        <v>12.99</v>
      </c>
      <c r="H192" s="8" t="s">
        <v>3751</v>
      </c>
      <c r="I192" s="7" t="s">
        <v>3394</v>
      </c>
      <c r="J192" s="11" t="s">
        <v>3202</v>
      </c>
      <c r="K192" s="7" t="s">
        <v>3300</v>
      </c>
      <c r="L192" s="7" t="s">
        <v>3301</v>
      </c>
      <c r="M192" s="12" t="str">
        <f>HYPERLINK("http://slimages.macys.com/is/image/MCY/3857696 ")</f>
        <v xml:space="preserve">http://slimages.macys.com/is/image/MCY/3857696 </v>
      </c>
    </row>
    <row r="193" spans="1:13" ht="15.2" customHeight="1" x14ac:dyDescent="0.2">
      <c r="A193" s="6" t="s">
        <v>682</v>
      </c>
      <c r="B193" s="7" t="s">
        <v>683</v>
      </c>
      <c r="C193" s="8">
        <v>1</v>
      </c>
      <c r="D193" s="9">
        <v>5.45</v>
      </c>
      <c r="E193" s="9">
        <v>5.45</v>
      </c>
      <c r="F193" s="10">
        <v>12.99</v>
      </c>
      <c r="G193" s="9">
        <v>12.99</v>
      </c>
      <c r="H193" s="8" t="s">
        <v>2433</v>
      </c>
      <c r="I193" s="7" t="s">
        <v>3495</v>
      </c>
      <c r="J193" s="11" t="s">
        <v>3186</v>
      </c>
      <c r="K193" s="7" t="s">
        <v>3300</v>
      </c>
      <c r="L193" s="7" t="s">
        <v>3301</v>
      </c>
      <c r="M193" s="12" t="str">
        <f>HYPERLINK("http://slimages.macys.com/is/image/MCY/2717665 ")</f>
        <v xml:space="preserve">http://slimages.macys.com/is/image/MCY/2717665 </v>
      </c>
    </row>
    <row r="194" spans="1:13" ht="15.2" customHeight="1" x14ac:dyDescent="0.2">
      <c r="A194" s="6" t="s">
        <v>111</v>
      </c>
      <c r="B194" s="7" t="s">
        <v>112</v>
      </c>
      <c r="C194" s="8">
        <v>1</v>
      </c>
      <c r="D194" s="9">
        <v>4.67</v>
      </c>
      <c r="E194" s="9">
        <v>4.67</v>
      </c>
      <c r="F194" s="10">
        <v>12.99</v>
      </c>
      <c r="G194" s="9">
        <v>12.99</v>
      </c>
      <c r="H194" s="8" t="s">
        <v>4007</v>
      </c>
      <c r="I194" s="7" t="s">
        <v>3185</v>
      </c>
      <c r="J194" s="11" t="s">
        <v>3202</v>
      </c>
      <c r="K194" s="7" t="s">
        <v>3387</v>
      </c>
      <c r="L194" s="7" t="s">
        <v>3425</v>
      </c>
      <c r="M194" s="12" t="str">
        <f>HYPERLINK("http://slimages.macys.com/is/image/MCY/3875947 ")</f>
        <v xml:space="preserve">http://slimages.macys.com/is/image/MCY/3875947 </v>
      </c>
    </row>
    <row r="195" spans="1:13" ht="15.2" customHeight="1" x14ac:dyDescent="0.2">
      <c r="A195" s="6" t="s">
        <v>4005</v>
      </c>
      <c r="B195" s="7" t="s">
        <v>4006</v>
      </c>
      <c r="C195" s="8">
        <v>1</v>
      </c>
      <c r="D195" s="9">
        <v>4.67</v>
      </c>
      <c r="E195" s="9">
        <v>4.67</v>
      </c>
      <c r="F195" s="10">
        <v>12.99</v>
      </c>
      <c r="G195" s="9">
        <v>12.99</v>
      </c>
      <c r="H195" s="8" t="s">
        <v>4007</v>
      </c>
      <c r="I195" s="7" t="s">
        <v>3185</v>
      </c>
      <c r="J195" s="11" t="s">
        <v>3186</v>
      </c>
      <c r="K195" s="7" t="s">
        <v>3387</v>
      </c>
      <c r="L195" s="7" t="s">
        <v>3425</v>
      </c>
      <c r="M195" s="12" t="str">
        <f>HYPERLINK("http://slimages.macys.com/is/image/MCY/3875947 ")</f>
        <v xml:space="preserve">http://slimages.macys.com/is/image/MCY/3875947 </v>
      </c>
    </row>
    <row r="196" spans="1:13" ht="15.2" customHeight="1" x14ac:dyDescent="0.2">
      <c r="A196" s="6" t="s">
        <v>2850</v>
      </c>
      <c r="B196" s="7" t="s">
        <v>2851</v>
      </c>
      <c r="C196" s="8">
        <v>1</v>
      </c>
      <c r="D196" s="9">
        <v>4.67</v>
      </c>
      <c r="E196" s="9">
        <v>4.67</v>
      </c>
      <c r="F196" s="10">
        <v>12.99</v>
      </c>
      <c r="G196" s="9">
        <v>12.99</v>
      </c>
      <c r="H196" s="8" t="s">
        <v>2847</v>
      </c>
      <c r="I196" s="7" t="s">
        <v>3216</v>
      </c>
      <c r="J196" s="11" t="s">
        <v>3186</v>
      </c>
      <c r="K196" s="7" t="s">
        <v>3387</v>
      </c>
      <c r="L196" s="7" t="s">
        <v>3425</v>
      </c>
      <c r="M196" s="12" t="str">
        <f>HYPERLINK("http://slimages.macys.com/is/image/MCY/3875946 ")</f>
        <v xml:space="preserve">http://slimages.macys.com/is/image/MCY/3875946 </v>
      </c>
    </row>
    <row r="197" spans="1:13" ht="15.2" customHeight="1" x14ac:dyDescent="0.2">
      <c r="A197" s="6" t="s">
        <v>1358</v>
      </c>
      <c r="B197" s="7" t="s">
        <v>1359</v>
      </c>
      <c r="C197" s="8">
        <v>2</v>
      </c>
      <c r="D197" s="9">
        <v>4.67</v>
      </c>
      <c r="E197" s="9">
        <v>9.34</v>
      </c>
      <c r="F197" s="10">
        <v>12.99</v>
      </c>
      <c r="G197" s="9">
        <v>25.98</v>
      </c>
      <c r="H197" s="8" t="s">
        <v>2439</v>
      </c>
      <c r="I197" s="7" t="s">
        <v>3252</v>
      </c>
      <c r="J197" s="11" t="s">
        <v>3186</v>
      </c>
      <c r="K197" s="7" t="s">
        <v>3387</v>
      </c>
      <c r="L197" s="7" t="s">
        <v>3425</v>
      </c>
      <c r="M197" s="12" t="str">
        <f>HYPERLINK("http://slimages.macys.com/is/image/MCY/3890878 ")</f>
        <v xml:space="preserve">http://slimages.macys.com/is/image/MCY/3890878 </v>
      </c>
    </row>
    <row r="198" spans="1:13" ht="15.2" customHeight="1" x14ac:dyDescent="0.2">
      <c r="A198" s="6" t="s">
        <v>2437</v>
      </c>
      <c r="B198" s="7" t="s">
        <v>2438</v>
      </c>
      <c r="C198" s="8">
        <v>1</v>
      </c>
      <c r="D198" s="9">
        <v>4.67</v>
      </c>
      <c r="E198" s="9">
        <v>4.67</v>
      </c>
      <c r="F198" s="10">
        <v>12.99</v>
      </c>
      <c r="G198" s="9">
        <v>12.99</v>
      </c>
      <c r="H198" s="8" t="s">
        <v>2439</v>
      </c>
      <c r="I198" s="7" t="s">
        <v>3252</v>
      </c>
      <c r="J198" s="11" t="s">
        <v>3231</v>
      </c>
      <c r="K198" s="7" t="s">
        <v>3387</v>
      </c>
      <c r="L198" s="7" t="s">
        <v>3425</v>
      </c>
      <c r="M198" s="12" t="str">
        <f>HYPERLINK("http://slimages.macys.com/is/image/MCY/3890878 ")</f>
        <v xml:space="preserve">http://slimages.macys.com/is/image/MCY/3890878 </v>
      </c>
    </row>
    <row r="199" spans="1:13" ht="15.2" customHeight="1" x14ac:dyDescent="0.2">
      <c r="A199" s="6" t="s">
        <v>2434</v>
      </c>
      <c r="B199" s="7" t="s">
        <v>2435</v>
      </c>
      <c r="C199" s="8">
        <v>1</v>
      </c>
      <c r="D199" s="9">
        <v>4.67</v>
      </c>
      <c r="E199" s="9">
        <v>4.67</v>
      </c>
      <c r="F199" s="10">
        <v>12.99</v>
      </c>
      <c r="G199" s="9">
        <v>12.99</v>
      </c>
      <c r="H199" s="8" t="s">
        <v>2436</v>
      </c>
      <c r="I199" s="7" t="s">
        <v>3252</v>
      </c>
      <c r="J199" s="11" t="s">
        <v>3186</v>
      </c>
      <c r="K199" s="7" t="s">
        <v>3387</v>
      </c>
      <c r="L199" s="7" t="s">
        <v>3425</v>
      </c>
      <c r="M199" s="12" t="str">
        <f>HYPERLINK("http://slimages.macys.com/is/image/MCY/3890879 ")</f>
        <v xml:space="preserve">http://slimages.macys.com/is/image/MCY/3890879 </v>
      </c>
    </row>
    <row r="200" spans="1:13" ht="15.2" customHeight="1" x14ac:dyDescent="0.2">
      <c r="A200" s="6" t="s">
        <v>113</v>
      </c>
      <c r="B200" s="7" t="s">
        <v>114</v>
      </c>
      <c r="C200" s="8">
        <v>1</v>
      </c>
      <c r="D200" s="9">
        <v>4.67</v>
      </c>
      <c r="E200" s="9">
        <v>4.67</v>
      </c>
      <c r="F200" s="10">
        <v>12.99</v>
      </c>
      <c r="G200" s="9">
        <v>12.99</v>
      </c>
      <c r="H200" s="8" t="s">
        <v>2439</v>
      </c>
      <c r="I200" s="7" t="s">
        <v>3252</v>
      </c>
      <c r="J200" s="11" t="s">
        <v>3202</v>
      </c>
      <c r="K200" s="7" t="s">
        <v>3387</v>
      </c>
      <c r="L200" s="7" t="s">
        <v>3425</v>
      </c>
      <c r="M200" s="12" t="str">
        <f>HYPERLINK("http://slimages.macys.com/is/image/MCY/3890878 ")</f>
        <v xml:space="preserve">http://slimages.macys.com/is/image/MCY/3890878 </v>
      </c>
    </row>
    <row r="201" spans="1:13" ht="15.2" customHeight="1" x14ac:dyDescent="0.2">
      <c r="A201" s="6" t="s">
        <v>2067</v>
      </c>
      <c r="B201" s="7" t="s">
        <v>2068</v>
      </c>
      <c r="C201" s="8">
        <v>1</v>
      </c>
      <c r="D201" s="9">
        <v>4.67</v>
      </c>
      <c r="E201" s="9">
        <v>4.67</v>
      </c>
      <c r="F201" s="10">
        <v>12.99</v>
      </c>
      <c r="G201" s="9">
        <v>12.99</v>
      </c>
      <c r="H201" s="8" t="s">
        <v>4142</v>
      </c>
      <c r="I201" s="7" t="s">
        <v>3219</v>
      </c>
      <c r="J201" s="11" t="s">
        <v>3231</v>
      </c>
      <c r="K201" s="7" t="s">
        <v>3387</v>
      </c>
      <c r="L201" s="7" t="s">
        <v>3425</v>
      </c>
      <c r="M201" s="12" t="str">
        <f>HYPERLINK("http://slimages.macys.com/is/image/MCY/3890877 ")</f>
        <v xml:space="preserve">http://slimages.macys.com/is/image/MCY/3890877 </v>
      </c>
    </row>
    <row r="202" spans="1:13" ht="15.2" customHeight="1" x14ac:dyDescent="0.2">
      <c r="A202" s="6" t="s">
        <v>4145</v>
      </c>
      <c r="B202" s="7" t="s">
        <v>4146</v>
      </c>
      <c r="C202" s="8">
        <v>1</v>
      </c>
      <c r="D202" s="9">
        <v>4.6500000000000004</v>
      </c>
      <c r="E202" s="9">
        <v>4.6500000000000004</v>
      </c>
      <c r="F202" s="10">
        <v>10.99</v>
      </c>
      <c r="G202" s="9">
        <v>10.99</v>
      </c>
      <c r="H202" s="8">
        <v>60359814</v>
      </c>
      <c r="I202" s="7" t="s">
        <v>3252</v>
      </c>
      <c r="J202" s="11" t="s">
        <v>3231</v>
      </c>
      <c r="K202" s="7" t="s">
        <v>3387</v>
      </c>
      <c r="L202" s="7" t="s">
        <v>3368</v>
      </c>
      <c r="M202" s="12" t="str">
        <f>HYPERLINK("http://slimages.macys.com/is/image/MCY/2308510 ")</f>
        <v xml:space="preserve">http://slimages.macys.com/is/image/MCY/2308510 </v>
      </c>
    </row>
    <row r="203" spans="1:13" ht="15.2" customHeight="1" x14ac:dyDescent="0.2">
      <c r="A203" s="6" t="s">
        <v>2852</v>
      </c>
      <c r="B203" s="7" t="s">
        <v>2853</v>
      </c>
      <c r="C203" s="8">
        <v>3</v>
      </c>
      <c r="D203" s="9">
        <v>4.6500000000000004</v>
      </c>
      <c r="E203" s="9">
        <v>13.95</v>
      </c>
      <c r="F203" s="10">
        <v>10.99</v>
      </c>
      <c r="G203" s="9">
        <v>32.97</v>
      </c>
      <c r="H203" s="8">
        <v>60359814</v>
      </c>
      <c r="I203" s="7" t="s">
        <v>3185</v>
      </c>
      <c r="J203" s="11" t="s">
        <v>3220</v>
      </c>
      <c r="K203" s="7" t="s">
        <v>3387</v>
      </c>
      <c r="L203" s="7" t="s">
        <v>3368</v>
      </c>
      <c r="M203" s="12" t="str">
        <f>HYPERLINK("http://slimages.macys.com/is/image/MCY/2308508 ")</f>
        <v xml:space="preserve">http://slimages.macys.com/is/image/MCY/2308508 </v>
      </c>
    </row>
    <row r="204" spans="1:13" ht="15.2" customHeight="1" x14ac:dyDescent="0.2">
      <c r="A204" s="6" t="s">
        <v>3482</v>
      </c>
      <c r="B204" s="7" t="s">
        <v>3483</v>
      </c>
      <c r="C204" s="8">
        <v>2</v>
      </c>
      <c r="D204" s="9">
        <v>4.6500000000000004</v>
      </c>
      <c r="E204" s="9">
        <v>9.3000000000000007</v>
      </c>
      <c r="F204" s="10">
        <v>10.99</v>
      </c>
      <c r="G204" s="9">
        <v>21.98</v>
      </c>
      <c r="H204" s="8">
        <v>60359814</v>
      </c>
      <c r="I204" s="7" t="s">
        <v>3185</v>
      </c>
      <c r="J204" s="11" t="s">
        <v>3202</v>
      </c>
      <c r="K204" s="7" t="s">
        <v>3387</v>
      </c>
      <c r="L204" s="7" t="s">
        <v>3368</v>
      </c>
      <c r="M204" s="12" t="str">
        <f>HYPERLINK("http://slimages.macys.com/is/image/MCY/2308508 ")</f>
        <v xml:space="preserve">http://slimages.macys.com/is/image/MCY/2308508 </v>
      </c>
    </row>
    <row r="205" spans="1:13" ht="15.2" customHeight="1" x14ac:dyDescent="0.2">
      <c r="A205" s="6" t="s">
        <v>4143</v>
      </c>
      <c r="B205" s="7" t="s">
        <v>4144</v>
      </c>
      <c r="C205" s="8">
        <v>3</v>
      </c>
      <c r="D205" s="9">
        <v>4.6500000000000004</v>
      </c>
      <c r="E205" s="9">
        <v>13.95</v>
      </c>
      <c r="F205" s="10">
        <v>10.99</v>
      </c>
      <c r="G205" s="9">
        <v>32.97</v>
      </c>
      <c r="H205" s="8">
        <v>60359814</v>
      </c>
      <c r="I205" s="7" t="s">
        <v>3185</v>
      </c>
      <c r="J205" s="11" t="s">
        <v>3186</v>
      </c>
      <c r="K205" s="7" t="s">
        <v>3387</v>
      </c>
      <c r="L205" s="7" t="s">
        <v>3368</v>
      </c>
      <c r="M205" s="12" t="str">
        <f>HYPERLINK("http://slimages.macys.com/is/image/MCY/2308508 ")</f>
        <v xml:space="preserve">http://slimages.macys.com/is/image/MCY/2308508 </v>
      </c>
    </row>
    <row r="206" spans="1:13" ht="15.2" customHeight="1" x14ac:dyDescent="0.2">
      <c r="A206" s="6" t="s">
        <v>115</v>
      </c>
      <c r="B206" s="7" t="s">
        <v>116</v>
      </c>
      <c r="C206" s="8">
        <v>1</v>
      </c>
      <c r="D206" s="9">
        <v>4.6500000000000004</v>
      </c>
      <c r="E206" s="9">
        <v>4.6500000000000004</v>
      </c>
      <c r="F206" s="10">
        <v>10.99</v>
      </c>
      <c r="G206" s="9">
        <v>10.99</v>
      </c>
      <c r="H206" s="8">
        <v>60359814</v>
      </c>
      <c r="I206" s="7" t="s">
        <v>3252</v>
      </c>
      <c r="J206" s="11" t="s">
        <v>3186</v>
      </c>
      <c r="K206" s="7" t="s">
        <v>3387</v>
      </c>
      <c r="L206" s="7" t="s">
        <v>3368</v>
      </c>
      <c r="M206" s="12" t="str">
        <f>HYPERLINK("http://slimages.macys.com/is/image/MCY/3841046 ")</f>
        <v xml:space="preserve">http://slimages.macys.com/is/image/MCY/3841046 </v>
      </c>
    </row>
    <row r="207" spans="1:13" ht="15.2" customHeight="1" x14ac:dyDescent="0.2">
      <c r="A207" s="6" t="s">
        <v>1619</v>
      </c>
      <c r="B207" s="7" t="s">
        <v>1620</v>
      </c>
      <c r="C207" s="8">
        <v>1</v>
      </c>
      <c r="D207" s="9">
        <v>4.6500000000000004</v>
      </c>
      <c r="E207" s="9">
        <v>4.6500000000000004</v>
      </c>
      <c r="F207" s="10">
        <v>10.99</v>
      </c>
      <c r="G207" s="9">
        <v>10.99</v>
      </c>
      <c r="H207" s="8">
        <v>60359814</v>
      </c>
      <c r="I207" s="7" t="s">
        <v>3252</v>
      </c>
      <c r="J207" s="11" t="s">
        <v>3242</v>
      </c>
      <c r="K207" s="7" t="s">
        <v>3387</v>
      </c>
      <c r="L207" s="7" t="s">
        <v>3368</v>
      </c>
      <c r="M207" s="12" t="str">
        <f>HYPERLINK("http://slimages.macys.com/is/image/MCY/2308508 ")</f>
        <v xml:space="preserve">http://slimages.macys.com/is/image/MCY/2308508 </v>
      </c>
    </row>
    <row r="208" spans="1:13" ht="15.2" customHeight="1" x14ac:dyDescent="0.2">
      <c r="A208" s="6" t="s">
        <v>1143</v>
      </c>
      <c r="B208" s="7" t="s">
        <v>1144</v>
      </c>
      <c r="C208" s="8">
        <v>1</v>
      </c>
      <c r="D208" s="9">
        <v>4.6500000000000004</v>
      </c>
      <c r="E208" s="9">
        <v>4.6500000000000004</v>
      </c>
      <c r="F208" s="10">
        <v>10.99</v>
      </c>
      <c r="G208" s="9">
        <v>10.99</v>
      </c>
      <c r="H208" s="8">
        <v>60359814</v>
      </c>
      <c r="I208" s="7" t="s">
        <v>3214</v>
      </c>
      <c r="J208" s="11" t="s">
        <v>3186</v>
      </c>
      <c r="K208" s="7" t="s">
        <v>3387</v>
      </c>
      <c r="L208" s="7" t="s">
        <v>3368</v>
      </c>
      <c r="M208" s="12" t="str">
        <f>HYPERLINK("http://slimages.macys.com/is/image/MCY/2308510 ")</f>
        <v xml:space="preserve">http://slimages.macys.com/is/image/MCY/2308510 </v>
      </c>
    </row>
    <row r="209" spans="1:13" ht="15.2" customHeight="1" x14ac:dyDescent="0.2">
      <c r="A209" s="6" t="s">
        <v>1141</v>
      </c>
      <c r="B209" s="7" t="s">
        <v>1142</v>
      </c>
      <c r="C209" s="8">
        <v>1</v>
      </c>
      <c r="D209" s="9">
        <v>4.6500000000000004</v>
      </c>
      <c r="E209" s="9">
        <v>4.6500000000000004</v>
      </c>
      <c r="F209" s="10">
        <v>10.99</v>
      </c>
      <c r="G209" s="9">
        <v>10.99</v>
      </c>
      <c r="H209" s="8">
        <v>60359814</v>
      </c>
      <c r="I209" s="7" t="s">
        <v>3214</v>
      </c>
      <c r="J209" s="11" t="s">
        <v>3202</v>
      </c>
      <c r="K209" s="7" t="s">
        <v>3387</v>
      </c>
      <c r="L209" s="7" t="s">
        <v>3368</v>
      </c>
      <c r="M209" s="12" t="str">
        <f>HYPERLINK("http://slimages.macys.com/is/image/MCY/2308510 ")</f>
        <v xml:space="preserve">http://slimages.macys.com/is/image/MCY/2308510 </v>
      </c>
    </row>
    <row r="210" spans="1:13" ht="15.2" customHeight="1" x14ac:dyDescent="0.2">
      <c r="A210" s="6" t="s">
        <v>1728</v>
      </c>
      <c r="B210" s="7" t="s">
        <v>1729</v>
      </c>
      <c r="C210" s="8">
        <v>2</v>
      </c>
      <c r="D210" s="9">
        <v>4.3499999999999996</v>
      </c>
      <c r="E210" s="9">
        <v>8.6999999999999993</v>
      </c>
      <c r="F210" s="10">
        <v>13.99</v>
      </c>
      <c r="G210" s="9">
        <v>27.98</v>
      </c>
      <c r="H210" s="8" t="s">
        <v>3756</v>
      </c>
      <c r="I210" s="7" t="s">
        <v>3252</v>
      </c>
      <c r="J210" s="11" t="s">
        <v>3220</v>
      </c>
      <c r="K210" s="7" t="s">
        <v>3387</v>
      </c>
      <c r="L210" s="7" t="s">
        <v>3409</v>
      </c>
      <c r="M210" s="12" t="str">
        <f>HYPERLINK("http://slimages.macys.com/is/image/MCY/3931147 ")</f>
        <v xml:space="preserve">http://slimages.macys.com/is/image/MCY/3931147 </v>
      </c>
    </row>
    <row r="211" spans="1:13" ht="15.2" customHeight="1" x14ac:dyDescent="0.2">
      <c r="A211" s="6" t="s">
        <v>1730</v>
      </c>
      <c r="B211" s="7" t="s">
        <v>1731</v>
      </c>
      <c r="C211" s="8">
        <v>1</v>
      </c>
      <c r="D211" s="9">
        <v>4.3499999999999996</v>
      </c>
      <c r="E211" s="9">
        <v>4.3499999999999996</v>
      </c>
      <c r="F211" s="10">
        <v>13.99</v>
      </c>
      <c r="G211" s="9">
        <v>13.99</v>
      </c>
      <c r="H211" s="8" t="s">
        <v>3756</v>
      </c>
      <c r="I211" s="7" t="s">
        <v>3185</v>
      </c>
      <c r="J211" s="11" t="s">
        <v>3242</v>
      </c>
      <c r="K211" s="7" t="s">
        <v>3387</v>
      </c>
      <c r="L211" s="7" t="s">
        <v>3409</v>
      </c>
      <c r="M211" s="12" t="str">
        <f>HYPERLINK("http://slimages.macys.com/is/image/MCY/3931147 ")</f>
        <v xml:space="preserve">http://slimages.macys.com/is/image/MCY/3931147 </v>
      </c>
    </row>
    <row r="212" spans="1:13" ht="15.2" customHeight="1" x14ac:dyDescent="0.2">
      <c r="A212" s="6" t="s">
        <v>117</v>
      </c>
      <c r="B212" s="7" t="s">
        <v>118</v>
      </c>
      <c r="C212" s="8">
        <v>1</v>
      </c>
      <c r="D212" s="9">
        <v>4.3499999999999996</v>
      </c>
      <c r="E212" s="9">
        <v>4.3499999999999996</v>
      </c>
      <c r="F212" s="10">
        <v>13.99</v>
      </c>
      <c r="G212" s="9">
        <v>13.99</v>
      </c>
      <c r="H212" s="8" t="s">
        <v>3756</v>
      </c>
      <c r="I212" s="7" t="s">
        <v>3234</v>
      </c>
      <c r="J212" s="11" t="s">
        <v>3242</v>
      </c>
      <c r="K212" s="7" t="s">
        <v>3387</v>
      </c>
      <c r="L212" s="7" t="s">
        <v>3409</v>
      </c>
      <c r="M212" s="12" t="str">
        <f>HYPERLINK("http://slimages.macys.com/is/image/MCY/3931147 ")</f>
        <v xml:space="preserve">http://slimages.macys.com/is/image/MCY/3931147 </v>
      </c>
    </row>
    <row r="213" spans="1:13" ht="15.2" customHeight="1" x14ac:dyDescent="0.2">
      <c r="A213" s="6" t="s">
        <v>119</v>
      </c>
      <c r="B213" s="7" t="s">
        <v>120</v>
      </c>
      <c r="C213" s="8">
        <v>1</v>
      </c>
      <c r="D213" s="9">
        <v>4.3499999999999996</v>
      </c>
      <c r="E213" s="9">
        <v>4.3499999999999996</v>
      </c>
      <c r="F213" s="10">
        <v>13.99</v>
      </c>
      <c r="G213" s="9">
        <v>13.99</v>
      </c>
      <c r="H213" s="8" t="s">
        <v>3756</v>
      </c>
      <c r="I213" s="7" t="s">
        <v>3252</v>
      </c>
      <c r="J213" s="11" t="s">
        <v>3202</v>
      </c>
      <c r="K213" s="7" t="s">
        <v>3387</v>
      </c>
      <c r="L213" s="7" t="s">
        <v>3409</v>
      </c>
      <c r="M213" s="12" t="str">
        <f>HYPERLINK("http://slimages.macys.com/is/image/MCY/3931147 ")</f>
        <v xml:space="preserve">http://slimages.macys.com/is/image/MCY/3931147 </v>
      </c>
    </row>
    <row r="214" spans="1:13" ht="15.2" customHeight="1" x14ac:dyDescent="0.2">
      <c r="A214" s="6" t="s">
        <v>121</v>
      </c>
      <c r="B214" s="7" t="s">
        <v>122</v>
      </c>
      <c r="C214" s="8">
        <v>1</v>
      </c>
      <c r="D214" s="9">
        <v>3.72</v>
      </c>
      <c r="E214" s="9">
        <v>3.72</v>
      </c>
      <c r="F214" s="10">
        <v>7.99</v>
      </c>
      <c r="G214" s="9">
        <v>7.99</v>
      </c>
      <c r="H214" s="8" t="s">
        <v>3485</v>
      </c>
      <c r="I214" s="7" t="s">
        <v>3421</v>
      </c>
      <c r="J214" s="11" t="s">
        <v>3242</v>
      </c>
      <c r="K214" s="7" t="s">
        <v>3387</v>
      </c>
      <c r="L214" s="7" t="s">
        <v>3409</v>
      </c>
      <c r="M214" s="12" t="str">
        <f>HYPERLINK("http://slimages.macys.com/is/image/MCY/3609965 ")</f>
        <v xml:space="preserve">http://slimages.macys.com/is/image/MCY/3609965 </v>
      </c>
    </row>
    <row r="215" spans="1:13" ht="15.2" customHeight="1" x14ac:dyDescent="0.2">
      <c r="A215" s="6" t="s">
        <v>123</v>
      </c>
      <c r="B215" s="7" t="s">
        <v>124</v>
      </c>
      <c r="C215" s="8">
        <v>2</v>
      </c>
      <c r="D215" s="9">
        <v>3.72</v>
      </c>
      <c r="E215" s="9">
        <v>7.44</v>
      </c>
      <c r="F215" s="10">
        <v>7.99</v>
      </c>
      <c r="G215" s="9">
        <v>15.98</v>
      </c>
      <c r="H215" s="8" t="s">
        <v>3484</v>
      </c>
      <c r="I215" s="7" t="s">
        <v>3219</v>
      </c>
      <c r="J215" s="11" t="s">
        <v>3186</v>
      </c>
      <c r="K215" s="7" t="s">
        <v>3387</v>
      </c>
      <c r="L215" s="7" t="s">
        <v>3409</v>
      </c>
      <c r="M215" s="12" t="str">
        <f>HYPERLINK("http://slimages.macys.com/is/image/MCY/3609979 ")</f>
        <v xml:space="preserve">http://slimages.macys.com/is/image/MCY/3609979 </v>
      </c>
    </row>
    <row r="216" spans="1:13" ht="15.2" customHeight="1" x14ac:dyDescent="0.2">
      <c r="A216" s="6" t="s">
        <v>125</v>
      </c>
      <c r="B216" s="7" t="s">
        <v>126</v>
      </c>
      <c r="C216" s="8">
        <v>1</v>
      </c>
      <c r="D216" s="9">
        <v>3.72</v>
      </c>
      <c r="E216" s="9">
        <v>3.72</v>
      </c>
      <c r="F216" s="10">
        <v>7.99</v>
      </c>
      <c r="G216" s="9">
        <v>7.99</v>
      </c>
      <c r="H216" s="8" t="s">
        <v>3485</v>
      </c>
      <c r="I216" s="7" t="s">
        <v>3421</v>
      </c>
      <c r="J216" s="11" t="s">
        <v>3231</v>
      </c>
      <c r="K216" s="7" t="s">
        <v>3387</v>
      </c>
      <c r="L216" s="7" t="s">
        <v>3409</v>
      </c>
      <c r="M216" s="12" t="str">
        <f>HYPERLINK("http://slimages.macys.com/is/image/MCY/3609965 ")</f>
        <v xml:space="preserve">http://slimages.macys.com/is/image/MCY/3609965 </v>
      </c>
    </row>
    <row r="217" spans="1:13" ht="15.2" customHeight="1" x14ac:dyDescent="0.2">
      <c r="A217" s="6" t="s">
        <v>127</v>
      </c>
      <c r="B217" s="7" t="s">
        <v>128</v>
      </c>
      <c r="C217" s="8">
        <v>3</v>
      </c>
      <c r="D217" s="9">
        <v>3.72</v>
      </c>
      <c r="E217" s="9">
        <v>11.16</v>
      </c>
      <c r="F217" s="10">
        <v>7.99</v>
      </c>
      <c r="G217" s="9">
        <v>23.97</v>
      </c>
      <c r="H217" s="8" t="s">
        <v>3485</v>
      </c>
      <c r="I217" s="7" t="s">
        <v>3421</v>
      </c>
      <c r="J217" s="11" t="s">
        <v>3202</v>
      </c>
      <c r="K217" s="7" t="s">
        <v>3387</v>
      </c>
      <c r="L217" s="7" t="s">
        <v>3409</v>
      </c>
      <c r="M217" s="12" t="str">
        <f>HYPERLINK("http://slimages.macys.com/is/image/MCY/3609965 ")</f>
        <v xml:space="preserve">http://slimages.macys.com/is/image/MCY/3609965 </v>
      </c>
    </row>
    <row r="218" spans="1:13" ht="15.2" customHeight="1" x14ac:dyDescent="0.2">
      <c r="A218" s="6" t="s">
        <v>129</v>
      </c>
      <c r="B218" s="7" t="s">
        <v>130</v>
      </c>
      <c r="C218" s="8">
        <v>1</v>
      </c>
      <c r="D218" s="9">
        <v>3.72</v>
      </c>
      <c r="E218" s="9">
        <v>3.72</v>
      </c>
      <c r="F218" s="10">
        <v>7.99</v>
      </c>
      <c r="G218" s="9">
        <v>7.99</v>
      </c>
      <c r="H218" s="8" t="s">
        <v>3485</v>
      </c>
      <c r="I218" s="7" t="s">
        <v>3421</v>
      </c>
      <c r="J218" s="11" t="s">
        <v>3186</v>
      </c>
      <c r="K218" s="7" t="s">
        <v>3387</v>
      </c>
      <c r="L218" s="7" t="s">
        <v>3409</v>
      </c>
      <c r="M218" s="12" t="str">
        <f>HYPERLINK("http://slimages.macys.com/is/image/MCY/3609965 ")</f>
        <v xml:space="preserve">http://slimages.macys.com/is/image/MCY/3609965 </v>
      </c>
    </row>
    <row r="219" spans="1:13" ht="15.2" customHeight="1" x14ac:dyDescent="0.2">
      <c r="A219" s="6" t="s">
        <v>131</v>
      </c>
      <c r="B219" s="7" t="s">
        <v>132</v>
      </c>
      <c r="C219" s="8">
        <v>2</v>
      </c>
      <c r="D219" s="9">
        <v>3.72</v>
      </c>
      <c r="E219" s="9">
        <v>7.44</v>
      </c>
      <c r="F219" s="10">
        <v>7.99</v>
      </c>
      <c r="G219" s="9">
        <v>15.98</v>
      </c>
      <c r="H219" s="8" t="s">
        <v>3485</v>
      </c>
      <c r="I219" s="7" t="s">
        <v>3421</v>
      </c>
      <c r="J219" s="11" t="s">
        <v>3220</v>
      </c>
      <c r="K219" s="7" t="s">
        <v>3387</v>
      </c>
      <c r="L219" s="7" t="s">
        <v>3409</v>
      </c>
      <c r="M219" s="12" t="str">
        <f>HYPERLINK("http://slimages.macys.com/is/image/MCY/3609965 ")</f>
        <v xml:space="preserve">http://slimages.macys.com/is/image/MCY/3609965 </v>
      </c>
    </row>
    <row r="220" spans="1:13" ht="15.2" customHeight="1" x14ac:dyDescent="0.2">
      <c r="A220" s="6" t="s">
        <v>729</v>
      </c>
      <c r="B220" s="7" t="s">
        <v>730</v>
      </c>
      <c r="C220" s="8">
        <v>1</v>
      </c>
      <c r="D220" s="9">
        <v>3.72</v>
      </c>
      <c r="E220" s="9">
        <v>3.72</v>
      </c>
      <c r="F220" s="10">
        <v>7.99</v>
      </c>
      <c r="G220" s="9">
        <v>7.99</v>
      </c>
      <c r="H220" s="8" t="s">
        <v>3484</v>
      </c>
      <c r="I220" s="7" t="s">
        <v>3219</v>
      </c>
      <c r="J220" s="11" t="s">
        <v>3236</v>
      </c>
      <c r="K220" s="7" t="s">
        <v>3387</v>
      </c>
      <c r="L220" s="7" t="s">
        <v>3409</v>
      </c>
      <c r="M220" s="12" t="str">
        <f>HYPERLINK("http://slimages.macys.com/is/image/MCY/3609979 ")</f>
        <v xml:space="preserve">http://slimages.macys.com/is/image/MCY/3609979 </v>
      </c>
    </row>
    <row r="221" spans="1:13" ht="15.2" customHeight="1" x14ac:dyDescent="0.2">
      <c r="A221" s="6" t="s">
        <v>2444</v>
      </c>
      <c r="B221" s="7" t="s">
        <v>2445</v>
      </c>
      <c r="C221" s="8">
        <v>1</v>
      </c>
      <c r="D221" s="9">
        <v>3.45</v>
      </c>
      <c r="E221" s="9">
        <v>3.45</v>
      </c>
      <c r="F221" s="10">
        <v>7.99</v>
      </c>
      <c r="G221" s="9">
        <v>7.99</v>
      </c>
      <c r="H221" s="8">
        <v>60423445</v>
      </c>
      <c r="I221" s="7" t="s">
        <v>3640</v>
      </c>
      <c r="J221" s="11" t="s">
        <v>3186</v>
      </c>
      <c r="K221" s="7" t="s">
        <v>3387</v>
      </c>
      <c r="L221" s="7" t="s">
        <v>3368</v>
      </c>
      <c r="M221" s="12" t="str">
        <f>HYPERLINK("http://slimages.macys.com/is/image/MCY/3663800 ")</f>
        <v xml:space="preserve">http://slimages.macys.com/is/image/MCY/3663800 </v>
      </c>
    </row>
    <row r="222" spans="1:13" ht="15.2" customHeight="1" x14ac:dyDescent="0.2">
      <c r="A222" s="6" t="s">
        <v>2442</v>
      </c>
      <c r="B222" s="7" t="s">
        <v>2443</v>
      </c>
      <c r="C222" s="8">
        <v>2</v>
      </c>
      <c r="D222" s="9">
        <v>3.45</v>
      </c>
      <c r="E222" s="9">
        <v>6.9</v>
      </c>
      <c r="F222" s="10">
        <v>7.99</v>
      </c>
      <c r="G222" s="9">
        <v>15.98</v>
      </c>
      <c r="H222" s="8">
        <v>60423445</v>
      </c>
      <c r="I222" s="7" t="s">
        <v>3246</v>
      </c>
      <c r="J222" s="11" t="s">
        <v>3186</v>
      </c>
      <c r="K222" s="7" t="s">
        <v>3387</v>
      </c>
      <c r="L222" s="7" t="s">
        <v>3368</v>
      </c>
      <c r="M222" s="12" t="str">
        <f>HYPERLINK("http://slimages.macys.com/is/image/MCY/3663800 ")</f>
        <v xml:space="preserve">http://slimages.macys.com/is/image/MCY/3663800 </v>
      </c>
    </row>
    <row r="223" spans="1:13" ht="15.2" customHeight="1" x14ac:dyDescent="0.2">
      <c r="A223" s="6" t="s">
        <v>1152</v>
      </c>
      <c r="B223" s="7" t="s">
        <v>1153</v>
      </c>
      <c r="C223" s="8">
        <v>1</v>
      </c>
      <c r="D223" s="9">
        <v>34</v>
      </c>
      <c r="E223" s="9">
        <v>34</v>
      </c>
      <c r="F223" s="10">
        <v>89.5</v>
      </c>
      <c r="G223" s="9">
        <v>89.5</v>
      </c>
      <c r="H223" s="8" t="s">
        <v>2446</v>
      </c>
      <c r="I223" s="7"/>
      <c r="J223" s="11" t="s">
        <v>3220</v>
      </c>
      <c r="K223" s="7" t="s">
        <v>3198</v>
      </c>
      <c r="L223" s="7" t="s">
        <v>3199</v>
      </c>
      <c r="M223" s="12"/>
    </row>
    <row r="224" spans="1:13" ht="15.2" customHeight="1" x14ac:dyDescent="0.2">
      <c r="A224" s="6" t="s">
        <v>133</v>
      </c>
      <c r="B224" s="7" t="s">
        <v>134</v>
      </c>
      <c r="C224" s="8">
        <v>1</v>
      </c>
      <c r="D224" s="9">
        <v>34</v>
      </c>
      <c r="E224" s="9">
        <v>34</v>
      </c>
      <c r="F224" s="10">
        <v>89.5</v>
      </c>
      <c r="G224" s="9">
        <v>89.5</v>
      </c>
      <c r="H224" s="8" t="s">
        <v>2446</v>
      </c>
      <c r="I224" s="7"/>
      <c r="J224" s="11" t="s">
        <v>3242</v>
      </c>
      <c r="K224" s="7" t="s">
        <v>3198</v>
      </c>
      <c r="L224" s="7" t="s">
        <v>3199</v>
      </c>
      <c r="M224" s="12"/>
    </row>
    <row r="225" spans="1:13" ht="15.2" customHeight="1" x14ac:dyDescent="0.2">
      <c r="A225" s="6" t="s">
        <v>135</v>
      </c>
      <c r="B225" s="7" t="s">
        <v>136</v>
      </c>
      <c r="C225" s="8">
        <v>1</v>
      </c>
      <c r="D225" s="9">
        <v>30</v>
      </c>
      <c r="E225" s="9">
        <v>30</v>
      </c>
      <c r="F225" s="10">
        <v>79.5</v>
      </c>
      <c r="G225" s="9">
        <v>79.5</v>
      </c>
      <c r="H225" s="8" t="s">
        <v>4150</v>
      </c>
      <c r="I225" s="7" t="s">
        <v>3321</v>
      </c>
      <c r="J225" s="11"/>
      <c r="K225" s="7" t="s">
        <v>3198</v>
      </c>
      <c r="L225" s="7" t="s">
        <v>3199</v>
      </c>
      <c r="M225" s="12"/>
    </row>
    <row r="226" spans="1:13" ht="15.2" customHeight="1" x14ac:dyDescent="0.2">
      <c r="A226" s="6" t="s">
        <v>2069</v>
      </c>
      <c r="B226" s="7" t="s">
        <v>2070</v>
      </c>
      <c r="C226" s="8">
        <v>1</v>
      </c>
      <c r="D226" s="9">
        <v>25.36</v>
      </c>
      <c r="E226" s="9">
        <v>25.36</v>
      </c>
      <c r="F226" s="10">
        <v>69.5</v>
      </c>
      <c r="G226" s="9">
        <v>69.5</v>
      </c>
      <c r="H226" s="8" t="s">
        <v>3493</v>
      </c>
      <c r="I226" s="7" t="s">
        <v>3185</v>
      </c>
      <c r="J226" s="11" t="s">
        <v>3242</v>
      </c>
      <c r="K226" s="7" t="s">
        <v>3221</v>
      </c>
      <c r="L226" s="7" t="s">
        <v>3253</v>
      </c>
      <c r="M226" s="12"/>
    </row>
    <row r="227" spans="1:13" ht="15.2" customHeight="1" x14ac:dyDescent="0.2">
      <c r="A227" s="6" t="s">
        <v>137</v>
      </c>
      <c r="B227" s="7" t="s">
        <v>138</v>
      </c>
      <c r="C227" s="8">
        <v>1</v>
      </c>
      <c r="D227" s="9">
        <v>23.5</v>
      </c>
      <c r="E227" s="9">
        <v>23.5</v>
      </c>
      <c r="F227" s="10">
        <v>69</v>
      </c>
      <c r="G227" s="9">
        <v>69</v>
      </c>
      <c r="H227" s="8" t="s">
        <v>2871</v>
      </c>
      <c r="I227" s="7"/>
      <c r="J227" s="11" t="s">
        <v>3347</v>
      </c>
      <c r="K227" s="7" t="s">
        <v>3205</v>
      </c>
      <c r="L227" s="7" t="s">
        <v>3206</v>
      </c>
      <c r="M227" s="12"/>
    </row>
    <row r="228" spans="1:13" ht="15.2" customHeight="1" x14ac:dyDescent="0.2">
      <c r="A228" s="6" t="s">
        <v>4335</v>
      </c>
      <c r="B228" s="7" t="s">
        <v>4336</v>
      </c>
      <c r="C228" s="8">
        <v>1</v>
      </c>
      <c r="D228" s="9">
        <v>23</v>
      </c>
      <c r="E228" s="9">
        <v>23</v>
      </c>
      <c r="F228" s="10">
        <v>59.5</v>
      </c>
      <c r="G228" s="9">
        <v>59.5</v>
      </c>
      <c r="H228" s="8" t="s">
        <v>4013</v>
      </c>
      <c r="I228" s="7" t="s">
        <v>3185</v>
      </c>
      <c r="J228" s="11" t="s">
        <v>3242</v>
      </c>
      <c r="K228" s="7" t="s">
        <v>3198</v>
      </c>
      <c r="L228" s="7" t="s">
        <v>3199</v>
      </c>
      <c r="M228" s="12"/>
    </row>
    <row r="229" spans="1:13" ht="15.2" customHeight="1" x14ac:dyDescent="0.2">
      <c r="A229" s="6" t="s">
        <v>1154</v>
      </c>
      <c r="B229" s="7" t="s">
        <v>1155</v>
      </c>
      <c r="C229" s="8">
        <v>1</v>
      </c>
      <c r="D229" s="9">
        <v>22</v>
      </c>
      <c r="E229" s="9">
        <v>22</v>
      </c>
      <c r="F229" s="10">
        <v>69</v>
      </c>
      <c r="G229" s="9">
        <v>69</v>
      </c>
      <c r="H229" s="8" t="s">
        <v>4014</v>
      </c>
      <c r="I229" s="7" t="s">
        <v>3490</v>
      </c>
      <c r="J229" s="11" t="s">
        <v>3240</v>
      </c>
      <c r="K229" s="7" t="s">
        <v>3205</v>
      </c>
      <c r="L229" s="7" t="s">
        <v>3206</v>
      </c>
      <c r="M229" s="12"/>
    </row>
    <row r="230" spans="1:13" ht="15.2" customHeight="1" x14ac:dyDescent="0.2">
      <c r="A230" s="6" t="s">
        <v>139</v>
      </c>
      <c r="B230" s="7" t="s">
        <v>140</v>
      </c>
      <c r="C230" s="8">
        <v>1</v>
      </c>
      <c r="D230" s="9">
        <v>21.89</v>
      </c>
      <c r="E230" s="9">
        <v>21.89</v>
      </c>
      <c r="F230" s="10">
        <v>59.99</v>
      </c>
      <c r="G230" s="9">
        <v>59.99</v>
      </c>
      <c r="H230" s="8" t="s">
        <v>141</v>
      </c>
      <c r="I230" s="7" t="s">
        <v>3196</v>
      </c>
      <c r="J230" s="11" t="s">
        <v>3186</v>
      </c>
      <c r="K230" s="7" t="s">
        <v>3221</v>
      </c>
      <c r="L230" s="7" t="s">
        <v>3253</v>
      </c>
      <c r="M230" s="12"/>
    </row>
    <row r="231" spans="1:13" ht="15.2" customHeight="1" x14ac:dyDescent="0.2">
      <c r="A231" s="6" t="s">
        <v>1738</v>
      </c>
      <c r="B231" s="7" t="s">
        <v>1739</v>
      </c>
      <c r="C231" s="8">
        <v>1</v>
      </c>
      <c r="D231" s="9">
        <v>21.88</v>
      </c>
      <c r="E231" s="9">
        <v>21.88</v>
      </c>
      <c r="F231" s="10">
        <v>59.99</v>
      </c>
      <c r="G231" s="9">
        <v>59.99</v>
      </c>
      <c r="H231" s="8" t="s">
        <v>3760</v>
      </c>
      <c r="I231" s="7" t="s">
        <v>3207</v>
      </c>
      <c r="J231" s="11" t="s">
        <v>3186</v>
      </c>
      <c r="K231" s="7" t="s">
        <v>3221</v>
      </c>
      <c r="L231" s="7" t="s">
        <v>3212</v>
      </c>
      <c r="M231" s="12"/>
    </row>
    <row r="232" spans="1:13" ht="15.2" customHeight="1" x14ac:dyDescent="0.2">
      <c r="A232" s="6" t="s">
        <v>3758</v>
      </c>
      <c r="B232" s="7" t="s">
        <v>3759</v>
      </c>
      <c r="C232" s="8">
        <v>1</v>
      </c>
      <c r="D232" s="9">
        <v>21.88</v>
      </c>
      <c r="E232" s="9">
        <v>21.88</v>
      </c>
      <c r="F232" s="10">
        <v>59.99</v>
      </c>
      <c r="G232" s="9">
        <v>59.99</v>
      </c>
      <c r="H232" s="8" t="s">
        <v>3760</v>
      </c>
      <c r="I232" s="7" t="s">
        <v>3185</v>
      </c>
      <c r="J232" s="11" t="s">
        <v>3202</v>
      </c>
      <c r="K232" s="7" t="s">
        <v>3221</v>
      </c>
      <c r="L232" s="7" t="s">
        <v>3212</v>
      </c>
      <c r="M232" s="12"/>
    </row>
    <row r="233" spans="1:13" ht="15.2" customHeight="1" x14ac:dyDescent="0.2">
      <c r="A233" s="6" t="s">
        <v>2303</v>
      </c>
      <c r="B233" s="7" t="s">
        <v>2304</v>
      </c>
      <c r="C233" s="8">
        <v>1</v>
      </c>
      <c r="D233" s="9">
        <v>21.72</v>
      </c>
      <c r="E233" s="9">
        <v>21.72</v>
      </c>
      <c r="F233" s="10">
        <v>59.5</v>
      </c>
      <c r="G233" s="9">
        <v>59.5</v>
      </c>
      <c r="H233" s="8" t="s">
        <v>3496</v>
      </c>
      <c r="I233" s="7" t="s">
        <v>3252</v>
      </c>
      <c r="J233" s="11" t="s">
        <v>3220</v>
      </c>
      <c r="K233" s="7" t="s">
        <v>3221</v>
      </c>
      <c r="L233" s="7" t="s">
        <v>3224</v>
      </c>
      <c r="M233" s="12"/>
    </row>
    <row r="234" spans="1:13" ht="15.2" customHeight="1" x14ac:dyDescent="0.2">
      <c r="A234" s="6" t="s">
        <v>142</v>
      </c>
      <c r="B234" s="7" t="s">
        <v>143</v>
      </c>
      <c r="C234" s="8">
        <v>1</v>
      </c>
      <c r="D234" s="9">
        <v>21.72</v>
      </c>
      <c r="E234" s="9">
        <v>21.72</v>
      </c>
      <c r="F234" s="10">
        <v>59.5</v>
      </c>
      <c r="G234" s="9">
        <v>59.5</v>
      </c>
      <c r="H234" s="8" t="s">
        <v>3496</v>
      </c>
      <c r="I234" s="7" t="s">
        <v>3207</v>
      </c>
      <c r="J234" s="11" t="s">
        <v>3186</v>
      </c>
      <c r="K234" s="7" t="s">
        <v>3221</v>
      </c>
      <c r="L234" s="7" t="s">
        <v>3224</v>
      </c>
      <c r="M234" s="12"/>
    </row>
    <row r="235" spans="1:13" ht="15.2" customHeight="1" x14ac:dyDescent="0.2">
      <c r="A235" s="6" t="s">
        <v>144</v>
      </c>
      <c r="B235" s="7" t="s">
        <v>145</v>
      </c>
      <c r="C235" s="8">
        <v>1</v>
      </c>
      <c r="D235" s="9">
        <v>21.5</v>
      </c>
      <c r="E235" s="9">
        <v>21.5</v>
      </c>
      <c r="F235" s="10">
        <v>59</v>
      </c>
      <c r="G235" s="9">
        <v>59</v>
      </c>
      <c r="H235" s="8" t="s">
        <v>1127</v>
      </c>
      <c r="I235" s="7" t="s">
        <v>3185</v>
      </c>
      <c r="J235" s="11" t="s">
        <v>3236</v>
      </c>
      <c r="K235" s="7" t="s">
        <v>3205</v>
      </c>
      <c r="L235" s="7" t="s">
        <v>3277</v>
      </c>
      <c r="M235" s="12"/>
    </row>
    <row r="236" spans="1:13" ht="15.2" customHeight="1" x14ac:dyDescent="0.2">
      <c r="A236" s="6" t="s">
        <v>146</v>
      </c>
      <c r="B236" s="7" t="s">
        <v>147</v>
      </c>
      <c r="C236" s="8">
        <v>1</v>
      </c>
      <c r="D236" s="9">
        <v>21.22</v>
      </c>
      <c r="E236" s="9">
        <v>21.22</v>
      </c>
      <c r="F236" s="10">
        <v>59.5</v>
      </c>
      <c r="G236" s="9">
        <v>59.5</v>
      </c>
      <c r="H236" s="8" t="s">
        <v>2452</v>
      </c>
      <c r="I236" s="7" t="s">
        <v>3185</v>
      </c>
      <c r="J236" s="11" t="s">
        <v>3236</v>
      </c>
      <c r="K236" s="7" t="s">
        <v>3232</v>
      </c>
      <c r="L236" s="7" t="s">
        <v>3233</v>
      </c>
      <c r="M236" s="12"/>
    </row>
    <row r="237" spans="1:13" ht="15.2" customHeight="1" x14ac:dyDescent="0.2">
      <c r="A237" s="6" t="s">
        <v>1128</v>
      </c>
      <c r="B237" s="7" t="s">
        <v>1129</v>
      </c>
      <c r="C237" s="8">
        <v>1</v>
      </c>
      <c r="D237" s="9">
        <v>20.85</v>
      </c>
      <c r="E237" s="9">
        <v>20.85</v>
      </c>
      <c r="F237" s="10">
        <v>69.5</v>
      </c>
      <c r="G237" s="9">
        <v>69.5</v>
      </c>
      <c r="H237" s="8">
        <v>60438720</v>
      </c>
      <c r="I237" s="7" t="s">
        <v>3252</v>
      </c>
      <c r="J237" s="11" t="s">
        <v>3242</v>
      </c>
      <c r="K237" s="7" t="s">
        <v>3187</v>
      </c>
      <c r="L237" s="7" t="s">
        <v>3188</v>
      </c>
      <c r="M237" s="12"/>
    </row>
    <row r="238" spans="1:13" ht="15.2" customHeight="1" x14ac:dyDescent="0.2">
      <c r="A238" s="6" t="s">
        <v>148</v>
      </c>
      <c r="B238" s="7" t="s">
        <v>1907</v>
      </c>
      <c r="C238" s="8">
        <v>1</v>
      </c>
      <c r="D238" s="9">
        <v>20.77</v>
      </c>
      <c r="E238" s="9">
        <v>20.77</v>
      </c>
      <c r="F238" s="10">
        <v>59.5</v>
      </c>
      <c r="G238" s="9">
        <v>59.5</v>
      </c>
      <c r="H238" s="8" t="s">
        <v>1908</v>
      </c>
      <c r="I238" s="7" t="s">
        <v>3252</v>
      </c>
      <c r="J238" s="11" t="s">
        <v>3220</v>
      </c>
      <c r="K238" s="7" t="s">
        <v>3232</v>
      </c>
      <c r="L238" s="7" t="s">
        <v>3233</v>
      </c>
      <c r="M238" s="12"/>
    </row>
    <row r="239" spans="1:13" ht="15.2" customHeight="1" x14ac:dyDescent="0.2">
      <c r="A239" s="6" t="s">
        <v>1156</v>
      </c>
      <c r="B239" s="7" t="s">
        <v>1157</v>
      </c>
      <c r="C239" s="8">
        <v>1</v>
      </c>
      <c r="D239" s="9">
        <v>20</v>
      </c>
      <c r="E239" s="9">
        <v>20</v>
      </c>
      <c r="F239" s="10">
        <v>49.99</v>
      </c>
      <c r="G239" s="9">
        <v>49.99</v>
      </c>
      <c r="H239" s="8" t="s">
        <v>3761</v>
      </c>
      <c r="I239" s="7" t="s">
        <v>3394</v>
      </c>
      <c r="J239" s="11" t="s">
        <v>3331</v>
      </c>
      <c r="K239" s="7" t="s">
        <v>3241</v>
      </c>
      <c r="L239" s="7" t="s">
        <v>3206</v>
      </c>
      <c r="M239" s="12"/>
    </row>
    <row r="240" spans="1:13" ht="15.2" customHeight="1" x14ac:dyDescent="0.2">
      <c r="A240" s="6" t="s">
        <v>1158</v>
      </c>
      <c r="B240" s="7" t="s">
        <v>1159</v>
      </c>
      <c r="C240" s="8">
        <v>1</v>
      </c>
      <c r="D240" s="9">
        <v>19.5</v>
      </c>
      <c r="E240" s="9">
        <v>19.5</v>
      </c>
      <c r="F240" s="10">
        <v>59</v>
      </c>
      <c r="G240" s="9">
        <v>59</v>
      </c>
      <c r="H240" s="8" t="s">
        <v>2456</v>
      </c>
      <c r="I240" s="7" t="s">
        <v>3182</v>
      </c>
      <c r="J240" s="11" t="s">
        <v>3202</v>
      </c>
      <c r="K240" s="7" t="s">
        <v>3205</v>
      </c>
      <c r="L240" s="7" t="s">
        <v>3277</v>
      </c>
      <c r="M240" s="12"/>
    </row>
    <row r="241" spans="1:13" ht="15.2" customHeight="1" x14ac:dyDescent="0.2">
      <c r="A241" s="6" t="s">
        <v>149</v>
      </c>
      <c r="B241" s="7" t="s">
        <v>150</v>
      </c>
      <c r="C241" s="8">
        <v>1</v>
      </c>
      <c r="D241" s="9">
        <v>19.04</v>
      </c>
      <c r="E241" s="9">
        <v>19.04</v>
      </c>
      <c r="F241" s="10">
        <v>59.5</v>
      </c>
      <c r="G241" s="9">
        <v>59.5</v>
      </c>
      <c r="H241" s="8">
        <v>49022843</v>
      </c>
      <c r="I241" s="7" t="s">
        <v>3234</v>
      </c>
      <c r="J241" s="11"/>
      <c r="K241" s="7" t="s">
        <v>3187</v>
      </c>
      <c r="L241" s="7" t="s">
        <v>3188</v>
      </c>
      <c r="M241" s="12"/>
    </row>
    <row r="242" spans="1:13" ht="15.2" customHeight="1" x14ac:dyDescent="0.2">
      <c r="A242" s="6" t="s">
        <v>151</v>
      </c>
      <c r="B242" s="7" t="s">
        <v>152</v>
      </c>
      <c r="C242" s="8">
        <v>1</v>
      </c>
      <c r="D242" s="9">
        <v>19.04</v>
      </c>
      <c r="E242" s="9">
        <v>19.04</v>
      </c>
      <c r="F242" s="10">
        <v>59.5</v>
      </c>
      <c r="G242" s="9">
        <v>59.5</v>
      </c>
      <c r="H242" s="8">
        <v>49022843</v>
      </c>
      <c r="I242" s="7" t="s">
        <v>3234</v>
      </c>
      <c r="J242" s="11"/>
      <c r="K242" s="7" t="s">
        <v>3187</v>
      </c>
      <c r="L242" s="7" t="s">
        <v>3188</v>
      </c>
      <c r="M242" s="12"/>
    </row>
    <row r="243" spans="1:13" ht="15.2" customHeight="1" x14ac:dyDescent="0.2">
      <c r="A243" s="6" t="s">
        <v>4337</v>
      </c>
      <c r="B243" s="7" t="s">
        <v>4338</v>
      </c>
      <c r="C243" s="8">
        <v>1</v>
      </c>
      <c r="D243" s="9">
        <v>18.75</v>
      </c>
      <c r="E243" s="9">
        <v>18.75</v>
      </c>
      <c r="F243" s="10">
        <v>59</v>
      </c>
      <c r="G243" s="9">
        <v>59</v>
      </c>
      <c r="H243" s="8" t="s">
        <v>4339</v>
      </c>
      <c r="I243" s="7" t="s">
        <v>3257</v>
      </c>
      <c r="J243" s="11" t="s">
        <v>3186</v>
      </c>
      <c r="K243" s="7" t="s">
        <v>3217</v>
      </c>
      <c r="L243" s="7" t="s">
        <v>3218</v>
      </c>
      <c r="M243" s="12"/>
    </row>
    <row r="244" spans="1:13" ht="15.2" customHeight="1" x14ac:dyDescent="0.2">
      <c r="A244" s="6" t="s">
        <v>4340</v>
      </c>
      <c r="B244" s="7" t="s">
        <v>3763</v>
      </c>
      <c r="C244" s="8">
        <v>1</v>
      </c>
      <c r="D244" s="9">
        <v>18.420000000000002</v>
      </c>
      <c r="E244" s="9">
        <v>18.420000000000002</v>
      </c>
      <c r="F244" s="10">
        <v>49.5</v>
      </c>
      <c r="G244" s="9">
        <v>49.5</v>
      </c>
      <c r="H244" s="8" t="s">
        <v>3764</v>
      </c>
      <c r="I244" s="7" t="s">
        <v>3185</v>
      </c>
      <c r="J244" s="11" t="s">
        <v>3202</v>
      </c>
      <c r="K244" s="7" t="s">
        <v>3232</v>
      </c>
      <c r="L244" s="7" t="s">
        <v>3233</v>
      </c>
      <c r="M244" s="12"/>
    </row>
    <row r="245" spans="1:13" ht="15.2" customHeight="1" x14ac:dyDescent="0.2">
      <c r="A245" s="6" t="s">
        <v>4341</v>
      </c>
      <c r="B245" s="7" t="s">
        <v>4018</v>
      </c>
      <c r="C245" s="8">
        <v>1</v>
      </c>
      <c r="D245" s="9">
        <v>18.07</v>
      </c>
      <c r="E245" s="9">
        <v>18.07</v>
      </c>
      <c r="F245" s="10">
        <v>49.5</v>
      </c>
      <c r="G245" s="9">
        <v>49.5</v>
      </c>
      <c r="H245" s="8" t="s">
        <v>4019</v>
      </c>
      <c r="I245" s="7" t="s">
        <v>3252</v>
      </c>
      <c r="J245" s="11" t="s">
        <v>3220</v>
      </c>
      <c r="K245" s="7" t="s">
        <v>3221</v>
      </c>
      <c r="L245" s="7" t="s">
        <v>3253</v>
      </c>
      <c r="M245" s="12"/>
    </row>
    <row r="246" spans="1:13" ht="15.2" customHeight="1" x14ac:dyDescent="0.2">
      <c r="A246" s="6" t="s">
        <v>4160</v>
      </c>
      <c r="B246" s="7" t="s">
        <v>3766</v>
      </c>
      <c r="C246" s="8">
        <v>1</v>
      </c>
      <c r="D246" s="9">
        <v>18.04</v>
      </c>
      <c r="E246" s="9">
        <v>18.04</v>
      </c>
      <c r="F246" s="10">
        <v>49.5</v>
      </c>
      <c r="G246" s="9">
        <v>49.5</v>
      </c>
      <c r="H246" s="8" t="s">
        <v>3767</v>
      </c>
      <c r="I246" s="7" t="s">
        <v>3252</v>
      </c>
      <c r="J246" s="11" t="s">
        <v>3220</v>
      </c>
      <c r="K246" s="7" t="s">
        <v>3221</v>
      </c>
      <c r="L246" s="7" t="s">
        <v>3224</v>
      </c>
      <c r="M246" s="12"/>
    </row>
    <row r="247" spans="1:13" ht="15.2" customHeight="1" x14ac:dyDescent="0.2">
      <c r="A247" s="6" t="s">
        <v>4161</v>
      </c>
      <c r="B247" s="7" t="s">
        <v>3766</v>
      </c>
      <c r="C247" s="8">
        <v>2</v>
      </c>
      <c r="D247" s="9">
        <v>18.04</v>
      </c>
      <c r="E247" s="9">
        <v>36.08</v>
      </c>
      <c r="F247" s="10">
        <v>49.5</v>
      </c>
      <c r="G247" s="9">
        <v>99</v>
      </c>
      <c r="H247" s="8" t="s">
        <v>3767</v>
      </c>
      <c r="I247" s="7" t="s">
        <v>3252</v>
      </c>
      <c r="J247" s="11" t="s">
        <v>3202</v>
      </c>
      <c r="K247" s="7" t="s">
        <v>3221</v>
      </c>
      <c r="L247" s="7" t="s">
        <v>3224</v>
      </c>
      <c r="M247" s="12"/>
    </row>
    <row r="248" spans="1:13" ht="15.2" customHeight="1" x14ac:dyDescent="0.2">
      <c r="A248" s="6" t="s">
        <v>3765</v>
      </c>
      <c r="B248" s="7" t="s">
        <v>3766</v>
      </c>
      <c r="C248" s="8">
        <v>1</v>
      </c>
      <c r="D248" s="9">
        <v>18.04</v>
      </c>
      <c r="E248" s="9">
        <v>18.04</v>
      </c>
      <c r="F248" s="10">
        <v>49.5</v>
      </c>
      <c r="G248" s="9">
        <v>49.5</v>
      </c>
      <c r="H248" s="8" t="s">
        <v>3767</v>
      </c>
      <c r="I248" s="7" t="s">
        <v>3252</v>
      </c>
      <c r="J248" s="11" t="s">
        <v>3236</v>
      </c>
      <c r="K248" s="7" t="s">
        <v>3221</v>
      </c>
      <c r="L248" s="7" t="s">
        <v>3224</v>
      </c>
      <c r="M248" s="12"/>
    </row>
    <row r="249" spans="1:13" ht="15.2" customHeight="1" x14ac:dyDescent="0.2">
      <c r="A249" s="6" t="s">
        <v>153</v>
      </c>
      <c r="B249" s="7" t="s">
        <v>154</v>
      </c>
      <c r="C249" s="8">
        <v>1</v>
      </c>
      <c r="D249" s="9">
        <v>18</v>
      </c>
      <c r="E249" s="9">
        <v>18</v>
      </c>
      <c r="F249" s="10">
        <v>59</v>
      </c>
      <c r="G249" s="9">
        <v>59</v>
      </c>
      <c r="H249" s="8" t="s">
        <v>1909</v>
      </c>
      <c r="I249" s="7" t="s">
        <v>3185</v>
      </c>
      <c r="J249" s="11" t="s">
        <v>3204</v>
      </c>
      <c r="K249" s="7" t="s">
        <v>3205</v>
      </c>
      <c r="L249" s="7" t="s">
        <v>3826</v>
      </c>
      <c r="M249" s="12"/>
    </row>
    <row r="250" spans="1:13" ht="15.2" customHeight="1" x14ac:dyDescent="0.2">
      <c r="A250" s="6" t="s">
        <v>1419</v>
      </c>
      <c r="B250" s="7" t="s">
        <v>1420</v>
      </c>
      <c r="C250" s="8">
        <v>1</v>
      </c>
      <c r="D250" s="9">
        <v>18</v>
      </c>
      <c r="E250" s="9">
        <v>18</v>
      </c>
      <c r="F250" s="10">
        <v>69</v>
      </c>
      <c r="G250" s="9">
        <v>69</v>
      </c>
      <c r="H250" s="8" t="s">
        <v>1421</v>
      </c>
      <c r="I250" s="7" t="s">
        <v>3321</v>
      </c>
      <c r="J250" s="11" t="s">
        <v>3202</v>
      </c>
      <c r="K250" s="7" t="s">
        <v>3205</v>
      </c>
      <c r="L250" s="7" t="s">
        <v>3261</v>
      </c>
      <c r="M250" s="12"/>
    </row>
    <row r="251" spans="1:13" ht="15.2" customHeight="1" x14ac:dyDescent="0.2">
      <c r="A251" s="6" t="s">
        <v>4345</v>
      </c>
      <c r="B251" s="7" t="s">
        <v>4343</v>
      </c>
      <c r="C251" s="8">
        <v>1</v>
      </c>
      <c r="D251" s="9">
        <v>17.72</v>
      </c>
      <c r="E251" s="9">
        <v>17.72</v>
      </c>
      <c r="F251" s="10">
        <v>49.5</v>
      </c>
      <c r="G251" s="9">
        <v>49.5</v>
      </c>
      <c r="H251" s="8" t="s">
        <v>4344</v>
      </c>
      <c r="I251" s="7" t="s">
        <v>3185</v>
      </c>
      <c r="J251" s="11" t="s">
        <v>3186</v>
      </c>
      <c r="K251" s="7" t="s">
        <v>3232</v>
      </c>
      <c r="L251" s="7" t="s">
        <v>3233</v>
      </c>
      <c r="M251" s="12"/>
    </row>
    <row r="252" spans="1:13" ht="15.2" customHeight="1" x14ac:dyDescent="0.2">
      <c r="A252" s="6" t="s">
        <v>155</v>
      </c>
      <c r="B252" s="7" t="s">
        <v>156</v>
      </c>
      <c r="C252" s="8">
        <v>1</v>
      </c>
      <c r="D252" s="9">
        <v>17.5</v>
      </c>
      <c r="E252" s="9">
        <v>17.5</v>
      </c>
      <c r="F252" s="10">
        <v>41.99</v>
      </c>
      <c r="G252" s="9">
        <v>41.99</v>
      </c>
      <c r="H252" s="8" t="s">
        <v>2459</v>
      </c>
      <c r="I252" s="7" t="s">
        <v>3185</v>
      </c>
      <c r="J252" s="11"/>
      <c r="K252" s="7" t="s">
        <v>3241</v>
      </c>
      <c r="L252" s="7" t="s">
        <v>3632</v>
      </c>
      <c r="M252" s="12"/>
    </row>
    <row r="253" spans="1:13" ht="15.2" customHeight="1" x14ac:dyDescent="0.2">
      <c r="A253" s="6" t="s">
        <v>1742</v>
      </c>
      <c r="B253" s="7" t="s">
        <v>1743</v>
      </c>
      <c r="C253" s="8">
        <v>2</v>
      </c>
      <c r="D253" s="9">
        <v>17</v>
      </c>
      <c r="E253" s="9">
        <v>34</v>
      </c>
      <c r="F253" s="10">
        <v>59</v>
      </c>
      <c r="G253" s="9">
        <v>118</v>
      </c>
      <c r="H253" s="8" t="s">
        <v>3772</v>
      </c>
      <c r="I253" s="7" t="s">
        <v>3252</v>
      </c>
      <c r="J253" s="11" t="s">
        <v>3220</v>
      </c>
      <c r="K253" s="7" t="s">
        <v>3295</v>
      </c>
      <c r="L253" s="7" t="s">
        <v>3296</v>
      </c>
      <c r="M253" s="12"/>
    </row>
    <row r="254" spans="1:13" ht="15.2" customHeight="1" x14ac:dyDescent="0.2">
      <c r="A254" s="6" t="s">
        <v>157</v>
      </c>
      <c r="B254" s="7" t="s">
        <v>158</v>
      </c>
      <c r="C254" s="8">
        <v>1</v>
      </c>
      <c r="D254" s="9">
        <v>17</v>
      </c>
      <c r="E254" s="9">
        <v>17</v>
      </c>
      <c r="F254" s="10">
        <v>59</v>
      </c>
      <c r="G254" s="9">
        <v>59</v>
      </c>
      <c r="H254" s="8" t="s">
        <v>3511</v>
      </c>
      <c r="I254" s="7"/>
      <c r="J254" s="11" t="s">
        <v>3220</v>
      </c>
      <c r="K254" s="7" t="s">
        <v>3295</v>
      </c>
      <c r="L254" s="7" t="s">
        <v>3296</v>
      </c>
      <c r="M254" s="12"/>
    </row>
    <row r="255" spans="1:13" ht="15.2" customHeight="1" x14ac:dyDescent="0.2">
      <c r="A255" s="6" t="s">
        <v>159</v>
      </c>
      <c r="B255" s="7" t="s">
        <v>1427</v>
      </c>
      <c r="C255" s="8">
        <v>1</v>
      </c>
      <c r="D255" s="9">
        <v>17</v>
      </c>
      <c r="E255" s="9">
        <v>17</v>
      </c>
      <c r="F255" s="10">
        <v>41.99</v>
      </c>
      <c r="G255" s="9">
        <v>41.99</v>
      </c>
      <c r="H255" s="8" t="s">
        <v>3771</v>
      </c>
      <c r="I255" s="7" t="s">
        <v>3203</v>
      </c>
      <c r="J255" s="11" t="s">
        <v>3236</v>
      </c>
      <c r="K255" s="7" t="s">
        <v>3241</v>
      </c>
      <c r="L255" s="7" t="s">
        <v>3296</v>
      </c>
      <c r="M255" s="12"/>
    </row>
    <row r="256" spans="1:13" ht="15.2" customHeight="1" x14ac:dyDescent="0.2">
      <c r="A256" s="6" t="s">
        <v>4163</v>
      </c>
      <c r="B256" s="7" t="s">
        <v>3770</v>
      </c>
      <c r="C256" s="8">
        <v>1</v>
      </c>
      <c r="D256" s="9">
        <v>17</v>
      </c>
      <c r="E256" s="9">
        <v>17</v>
      </c>
      <c r="F256" s="10">
        <v>41.99</v>
      </c>
      <c r="G256" s="9">
        <v>41.99</v>
      </c>
      <c r="H256" s="8" t="s">
        <v>3771</v>
      </c>
      <c r="I256" s="7" t="s">
        <v>3185</v>
      </c>
      <c r="J256" s="11" t="s">
        <v>3236</v>
      </c>
      <c r="K256" s="7" t="s">
        <v>3241</v>
      </c>
      <c r="L256" s="7" t="s">
        <v>3296</v>
      </c>
      <c r="M256" s="12"/>
    </row>
    <row r="257" spans="1:13" ht="15.2" customHeight="1" x14ac:dyDescent="0.2">
      <c r="A257" s="6" t="s">
        <v>1426</v>
      </c>
      <c r="B257" s="7" t="s">
        <v>1427</v>
      </c>
      <c r="C257" s="8">
        <v>1</v>
      </c>
      <c r="D257" s="9">
        <v>17</v>
      </c>
      <c r="E257" s="9">
        <v>17</v>
      </c>
      <c r="F257" s="10">
        <v>41.99</v>
      </c>
      <c r="G257" s="9">
        <v>41.99</v>
      </c>
      <c r="H257" s="8" t="s">
        <v>3771</v>
      </c>
      <c r="I257" s="7" t="s">
        <v>3203</v>
      </c>
      <c r="J257" s="11" t="s">
        <v>3231</v>
      </c>
      <c r="K257" s="7" t="s">
        <v>3241</v>
      </c>
      <c r="L257" s="7" t="s">
        <v>3296</v>
      </c>
      <c r="M257" s="12"/>
    </row>
    <row r="258" spans="1:13" ht="15.2" customHeight="1" x14ac:dyDescent="0.2">
      <c r="A258" s="6" t="s">
        <v>1741</v>
      </c>
      <c r="B258" s="7" t="s">
        <v>1427</v>
      </c>
      <c r="C258" s="8">
        <v>2</v>
      </c>
      <c r="D258" s="9">
        <v>17</v>
      </c>
      <c r="E258" s="9">
        <v>34</v>
      </c>
      <c r="F258" s="10">
        <v>41.99</v>
      </c>
      <c r="G258" s="9">
        <v>83.98</v>
      </c>
      <c r="H258" s="8" t="s">
        <v>3771</v>
      </c>
      <c r="I258" s="7" t="s">
        <v>3203</v>
      </c>
      <c r="J258" s="11" t="s">
        <v>3186</v>
      </c>
      <c r="K258" s="7" t="s">
        <v>3241</v>
      </c>
      <c r="L258" s="7" t="s">
        <v>3296</v>
      </c>
      <c r="M258" s="12"/>
    </row>
    <row r="259" spans="1:13" ht="15.2" customHeight="1" x14ac:dyDescent="0.2">
      <c r="A259" s="6" t="s">
        <v>1911</v>
      </c>
      <c r="B259" s="7" t="s">
        <v>1912</v>
      </c>
      <c r="C259" s="8">
        <v>1</v>
      </c>
      <c r="D259" s="9">
        <v>16.739999999999998</v>
      </c>
      <c r="E259" s="9">
        <v>16.739999999999998</v>
      </c>
      <c r="F259" s="10">
        <v>49</v>
      </c>
      <c r="G259" s="9">
        <v>49</v>
      </c>
      <c r="H259" s="8" t="s">
        <v>3516</v>
      </c>
      <c r="I259" s="7" t="s">
        <v>3185</v>
      </c>
      <c r="J259" s="11" t="s">
        <v>3186</v>
      </c>
      <c r="K259" s="7" t="s">
        <v>3517</v>
      </c>
      <c r="L259" s="7" t="s">
        <v>3518</v>
      </c>
      <c r="M259" s="12"/>
    </row>
    <row r="260" spans="1:13" ht="15.2" customHeight="1" x14ac:dyDescent="0.2">
      <c r="A260" s="6" t="s">
        <v>2910</v>
      </c>
      <c r="B260" s="7" t="s">
        <v>2911</v>
      </c>
      <c r="C260" s="8">
        <v>1</v>
      </c>
      <c r="D260" s="9">
        <v>16.739999999999998</v>
      </c>
      <c r="E260" s="9">
        <v>16.739999999999998</v>
      </c>
      <c r="F260" s="10">
        <v>49</v>
      </c>
      <c r="G260" s="9">
        <v>49</v>
      </c>
      <c r="H260" s="8" t="s">
        <v>3779</v>
      </c>
      <c r="I260" s="7" t="s">
        <v>3394</v>
      </c>
      <c r="J260" s="11" t="s">
        <v>3220</v>
      </c>
      <c r="K260" s="7" t="s">
        <v>3517</v>
      </c>
      <c r="L260" s="7" t="s">
        <v>3518</v>
      </c>
      <c r="M260" s="12"/>
    </row>
    <row r="261" spans="1:13" ht="15.2" customHeight="1" x14ac:dyDescent="0.2">
      <c r="A261" s="6" t="s">
        <v>4164</v>
      </c>
      <c r="B261" s="7" t="s">
        <v>4165</v>
      </c>
      <c r="C261" s="8">
        <v>2</v>
      </c>
      <c r="D261" s="9">
        <v>16.739999999999998</v>
      </c>
      <c r="E261" s="9">
        <v>33.479999999999997</v>
      </c>
      <c r="F261" s="10">
        <v>49</v>
      </c>
      <c r="G261" s="9">
        <v>98</v>
      </c>
      <c r="H261" s="8" t="s">
        <v>4166</v>
      </c>
      <c r="I261" s="7" t="s">
        <v>3185</v>
      </c>
      <c r="J261" s="11" t="s">
        <v>3186</v>
      </c>
      <c r="K261" s="7" t="s">
        <v>3517</v>
      </c>
      <c r="L261" s="7" t="s">
        <v>3518</v>
      </c>
      <c r="M261" s="12"/>
    </row>
    <row r="262" spans="1:13" ht="15.2" customHeight="1" x14ac:dyDescent="0.2">
      <c r="A262" s="6" t="s">
        <v>2310</v>
      </c>
      <c r="B262" s="7" t="s">
        <v>2311</v>
      </c>
      <c r="C262" s="8">
        <v>1</v>
      </c>
      <c r="D262" s="9">
        <v>16.739999999999998</v>
      </c>
      <c r="E262" s="9">
        <v>16.739999999999998</v>
      </c>
      <c r="F262" s="10">
        <v>49</v>
      </c>
      <c r="G262" s="9">
        <v>49</v>
      </c>
      <c r="H262" s="8" t="s">
        <v>2309</v>
      </c>
      <c r="I262" s="7" t="s">
        <v>3185</v>
      </c>
      <c r="J262" s="11" t="s">
        <v>3202</v>
      </c>
      <c r="K262" s="7" t="s">
        <v>3517</v>
      </c>
      <c r="L262" s="7" t="s">
        <v>3518</v>
      </c>
      <c r="M262" s="12"/>
    </row>
    <row r="263" spans="1:13" ht="15.2" customHeight="1" x14ac:dyDescent="0.2">
      <c r="A263" s="6" t="s">
        <v>2912</v>
      </c>
      <c r="B263" s="7" t="s">
        <v>2913</v>
      </c>
      <c r="C263" s="8">
        <v>1</v>
      </c>
      <c r="D263" s="9">
        <v>16.739999999999998</v>
      </c>
      <c r="E263" s="9">
        <v>16.739999999999998</v>
      </c>
      <c r="F263" s="10">
        <v>49</v>
      </c>
      <c r="G263" s="9">
        <v>49</v>
      </c>
      <c r="H263" s="8" t="s">
        <v>2309</v>
      </c>
      <c r="I263" s="7" t="s">
        <v>3185</v>
      </c>
      <c r="J263" s="11" t="s">
        <v>3220</v>
      </c>
      <c r="K263" s="7" t="s">
        <v>3517</v>
      </c>
      <c r="L263" s="7" t="s">
        <v>3518</v>
      </c>
      <c r="M263" s="12"/>
    </row>
    <row r="264" spans="1:13" ht="15.2" customHeight="1" x14ac:dyDescent="0.2">
      <c r="A264" s="6" t="s">
        <v>1434</v>
      </c>
      <c r="B264" s="7" t="s">
        <v>1435</v>
      </c>
      <c r="C264" s="8">
        <v>1</v>
      </c>
      <c r="D264" s="9">
        <v>16.739999999999998</v>
      </c>
      <c r="E264" s="9">
        <v>16.739999999999998</v>
      </c>
      <c r="F264" s="10">
        <v>49</v>
      </c>
      <c r="G264" s="9">
        <v>49</v>
      </c>
      <c r="H264" s="8" t="s">
        <v>4166</v>
      </c>
      <c r="I264" s="7" t="s">
        <v>3185</v>
      </c>
      <c r="J264" s="11" t="s">
        <v>3202</v>
      </c>
      <c r="K264" s="7" t="s">
        <v>3517</v>
      </c>
      <c r="L264" s="7" t="s">
        <v>3518</v>
      </c>
      <c r="M264" s="12"/>
    </row>
    <row r="265" spans="1:13" ht="15.2" customHeight="1" x14ac:dyDescent="0.2">
      <c r="A265" s="6" t="s">
        <v>1444</v>
      </c>
      <c r="B265" s="7" t="s">
        <v>1445</v>
      </c>
      <c r="C265" s="8">
        <v>1</v>
      </c>
      <c r="D265" s="9">
        <v>16.5</v>
      </c>
      <c r="E265" s="9">
        <v>16.5</v>
      </c>
      <c r="F265" s="10">
        <v>39.99</v>
      </c>
      <c r="G265" s="9">
        <v>39.99</v>
      </c>
      <c r="H265" s="8" t="s">
        <v>4347</v>
      </c>
      <c r="I265" s="7" t="s">
        <v>3681</v>
      </c>
      <c r="J265" s="11" t="s">
        <v>3186</v>
      </c>
      <c r="K265" s="7" t="s">
        <v>3241</v>
      </c>
      <c r="L265" s="7" t="s">
        <v>3261</v>
      </c>
      <c r="M265" s="12"/>
    </row>
    <row r="266" spans="1:13" ht="15.2" customHeight="1" x14ac:dyDescent="0.2">
      <c r="A266" s="6" t="s">
        <v>3780</v>
      </c>
      <c r="B266" s="7" t="s">
        <v>3781</v>
      </c>
      <c r="C266" s="8">
        <v>1</v>
      </c>
      <c r="D266" s="9">
        <v>16.329999999999998</v>
      </c>
      <c r="E266" s="9">
        <v>16.329999999999998</v>
      </c>
      <c r="F266" s="10">
        <v>44.5</v>
      </c>
      <c r="G266" s="9">
        <v>44.5</v>
      </c>
      <c r="H266" s="8" t="s">
        <v>3782</v>
      </c>
      <c r="I266" s="7" t="s">
        <v>3185</v>
      </c>
      <c r="J266" s="11" t="s">
        <v>3242</v>
      </c>
      <c r="K266" s="7" t="s">
        <v>3232</v>
      </c>
      <c r="L266" s="7" t="s">
        <v>3233</v>
      </c>
      <c r="M266" s="12"/>
    </row>
    <row r="267" spans="1:13" ht="15.2" customHeight="1" x14ac:dyDescent="0.2">
      <c r="A267" s="6" t="s">
        <v>160</v>
      </c>
      <c r="B267" s="7" t="s">
        <v>161</v>
      </c>
      <c r="C267" s="8">
        <v>1</v>
      </c>
      <c r="D267" s="9">
        <v>15.75</v>
      </c>
      <c r="E267" s="9">
        <v>15.75</v>
      </c>
      <c r="F267" s="10">
        <v>49</v>
      </c>
      <c r="G267" s="9">
        <v>49</v>
      </c>
      <c r="H267" s="8" t="s">
        <v>1458</v>
      </c>
      <c r="I267" s="7"/>
      <c r="J267" s="11" t="s">
        <v>3186</v>
      </c>
      <c r="K267" s="7" t="s">
        <v>3217</v>
      </c>
      <c r="L267" s="7" t="s">
        <v>3218</v>
      </c>
      <c r="M267" s="12"/>
    </row>
    <row r="268" spans="1:13" ht="15.2" customHeight="1" x14ac:dyDescent="0.2">
      <c r="A268" s="6" t="s">
        <v>1160</v>
      </c>
      <c r="B268" s="7" t="s">
        <v>1161</v>
      </c>
      <c r="C268" s="8">
        <v>2</v>
      </c>
      <c r="D268" s="9">
        <v>15</v>
      </c>
      <c r="E268" s="9">
        <v>30</v>
      </c>
      <c r="F268" s="10">
        <v>34.99</v>
      </c>
      <c r="G268" s="9">
        <v>69.98</v>
      </c>
      <c r="H268" s="8" t="s">
        <v>4030</v>
      </c>
      <c r="I268" s="7" t="s">
        <v>3252</v>
      </c>
      <c r="J268" s="11" t="s">
        <v>3202</v>
      </c>
      <c r="K268" s="7" t="s">
        <v>3241</v>
      </c>
      <c r="L268" s="7" t="s">
        <v>3826</v>
      </c>
      <c r="M268" s="12"/>
    </row>
    <row r="269" spans="1:13" ht="15.2" customHeight="1" x14ac:dyDescent="0.2">
      <c r="A269" s="6" t="s">
        <v>4028</v>
      </c>
      <c r="B269" s="7" t="s">
        <v>4029</v>
      </c>
      <c r="C269" s="8">
        <v>2</v>
      </c>
      <c r="D269" s="9">
        <v>15</v>
      </c>
      <c r="E269" s="9">
        <v>30</v>
      </c>
      <c r="F269" s="10">
        <v>34.99</v>
      </c>
      <c r="G269" s="9">
        <v>69.98</v>
      </c>
      <c r="H269" s="8" t="s">
        <v>4030</v>
      </c>
      <c r="I269" s="7" t="s">
        <v>3252</v>
      </c>
      <c r="J269" s="11" t="s">
        <v>3186</v>
      </c>
      <c r="K269" s="7" t="s">
        <v>3241</v>
      </c>
      <c r="L269" s="7" t="s">
        <v>3826</v>
      </c>
      <c r="M269" s="12"/>
    </row>
    <row r="270" spans="1:13" ht="15.2" customHeight="1" x14ac:dyDescent="0.2">
      <c r="A270" s="6" t="s">
        <v>1744</v>
      </c>
      <c r="B270" s="7" t="s">
        <v>1745</v>
      </c>
      <c r="C270" s="8">
        <v>1</v>
      </c>
      <c r="D270" s="9">
        <v>15</v>
      </c>
      <c r="E270" s="9">
        <v>15</v>
      </c>
      <c r="F270" s="10">
        <v>49</v>
      </c>
      <c r="G270" s="9">
        <v>49</v>
      </c>
      <c r="H270" s="8" t="s">
        <v>2462</v>
      </c>
      <c r="I270" s="7" t="s">
        <v>3185</v>
      </c>
      <c r="J270" s="11" t="s">
        <v>3186</v>
      </c>
      <c r="K270" s="7" t="s">
        <v>3205</v>
      </c>
      <c r="L270" s="7" t="s">
        <v>3261</v>
      </c>
      <c r="M270" s="12"/>
    </row>
    <row r="271" spans="1:13" ht="15.2" customHeight="1" x14ac:dyDescent="0.2">
      <c r="A271" s="6" t="s">
        <v>1463</v>
      </c>
      <c r="B271" s="7" t="s">
        <v>1464</v>
      </c>
      <c r="C271" s="8">
        <v>1</v>
      </c>
      <c r="D271" s="9">
        <v>14.65</v>
      </c>
      <c r="E271" s="9">
        <v>14.65</v>
      </c>
      <c r="F271" s="10">
        <v>34.99</v>
      </c>
      <c r="G271" s="9">
        <v>34.99</v>
      </c>
      <c r="H271" s="8" t="s">
        <v>1465</v>
      </c>
      <c r="I271" s="7" t="s">
        <v>3416</v>
      </c>
      <c r="J271" s="11" t="s">
        <v>3220</v>
      </c>
      <c r="K271" s="7" t="s">
        <v>3300</v>
      </c>
      <c r="L271" s="7" t="s">
        <v>3301</v>
      </c>
      <c r="M271" s="12"/>
    </row>
    <row r="272" spans="1:13" ht="15.2" customHeight="1" x14ac:dyDescent="0.2">
      <c r="A272" s="6" t="s">
        <v>162</v>
      </c>
      <c r="B272" s="7" t="s">
        <v>163</v>
      </c>
      <c r="C272" s="8">
        <v>1</v>
      </c>
      <c r="D272" s="9">
        <v>14.45</v>
      </c>
      <c r="E272" s="9">
        <v>14.45</v>
      </c>
      <c r="F272" s="10">
        <v>39.5</v>
      </c>
      <c r="G272" s="9">
        <v>39.5</v>
      </c>
      <c r="H272" s="8" t="s">
        <v>4353</v>
      </c>
      <c r="I272" s="7" t="s">
        <v>3394</v>
      </c>
      <c r="J272" s="11" t="s">
        <v>3242</v>
      </c>
      <c r="K272" s="7" t="s">
        <v>3232</v>
      </c>
      <c r="L272" s="7" t="s">
        <v>3233</v>
      </c>
      <c r="M272" s="12"/>
    </row>
    <row r="273" spans="1:13" ht="15.2" customHeight="1" x14ac:dyDescent="0.2">
      <c r="A273" s="6" t="s">
        <v>164</v>
      </c>
      <c r="B273" s="7" t="s">
        <v>3541</v>
      </c>
      <c r="C273" s="8">
        <v>1</v>
      </c>
      <c r="D273" s="9">
        <v>14.42</v>
      </c>
      <c r="E273" s="9">
        <v>14.42</v>
      </c>
      <c r="F273" s="10">
        <v>39.5</v>
      </c>
      <c r="G273" s="9">
        <v>39.5</v>
      </c>
      <c r="H273" s="8" t="s">
        <v>3542</v>
      </c>
      <c r="I273" s="7" t="s">
        <v>3182</v>
      </c>
      <c r="J273" s="11" t="s">
        <v>3236</v>
      </c>
      <c r="K273" s="7" t="s">
        <v>3221</v>
      </c>
      <c r="L273" s="7" t="s">
        <v>3250</v>
      </c>
      <c r="M273" s="12"/>
    </row>
    <row r="274" spans="1:13" ht="15.2" customHeight="1" x14ac:dyDescent="0.2">
      <c r="A274" s="6" t="s">
        <v>4173</v>
      </c>
      <c r="B274" s="7" t="s">
        <v>3541</v>
      </c>
      <c r="C274" s="8">
        <v>3</v>
      </c>
      <c r="D274" s="9">
        <v>14.42</v>
      </c>
      <c r="E274" s="9">
        <v>43.26</v>
      </c>
      <c r="F274" s="10">
        <v>39.5</v>
      </c>
      <c r="G274" s="9">
        <v>118.5</v>
      </c>
      <c r="H274" s="8" t="s">
        <v>3542</v>
      </c>
      <c r="I274" s="7" t="s">
        <v>3182</v>
      </c>
      <c r="J274" s="11" t="s">
        <v>3186</v>
      </c>
      <c r="K274" s="7" t="s">
        <v>3221</v>
      </c>
      <c r="L274" s="7" t="s">
        <v>3250</v>
      </c>
      <c r="M274" s="12"/>
    </row>
    <row r="275" spans="1:13" ht="15.2" customHeight="1" x14ac:dyDescent="0.2">
      <c r="A275" s="6" t="s">
        <v>4177</v>
      </c>
      <c r="B275" s="7" t="s">
        <v>4178</v>
      </c>
      <c r="C275" s="8">
        <v>2</v>
      </c>
      <c r="D275" s="9">
        <v>14.42</v>
      </c>
      <c r="E275" s="9">
        <v>28.84</v>
      </c>
      <c r="F275" s="10">
        <v>39.5</v>
      </c>
      <c r="G275" s="9">
        <v>79</v>
      </c>
      <c r="H275" s="8" t="s">
        <v>3534</v>
      </c>
      <c r="I275" s="7" t="s">
        <v>3228</v>
      </c>
      <c r="J275" s="11" t="s">
        <v>3220</v>
      </c>
      <c r="K275" s="7" t="s">
        <v>3221</v>
      </c>
      <c r="L275" s="7" t="s">
        <v>3224</v>
      </c>
      <c r="M275" s="12"/>
    </row>
    <row r="276" spans="1:13" ht="15.2" customHeight="1" x14ac:dyDescent="0.2">
      <c r="A276" s="6" t="s">
        <v>4358</v>
      </c>
      <c r="B276" s="7" t="s">
        <v>3530</v>
      </c>
      <c r="C276" s="8">
        <v>1</v>
      </c>
      <c r="D276" s="9">
        <v>14.42</v>
      </c>
      <c r="E276" s="9">
        <v>14.42</v>
      </c>
      <c r="F276" s="10">
        <v>39.5</v>
      </c>
      <c r="G276" s="9">
        <v>39.5</v>
      </c>
      <c r="H276" s="8" t="s">
        <v>3531</v>
      </c>
      <c r="I276" s="7" t="s">
        <v>3203</v>
      </c>
      <c r="J276" s="11" t="s">
        <v>3202</v>
      </c>
      <c r="K276" s="7" t="s">
        <v>3221</v>
      </c>
      <c r="L276" s="7" t="s">
        <v>3224</v>
      </c>
      <c r="M276" s="12"/>
    </row>
    <row r="277" spans="1:13" ht="15.2" customHeight="1" x14ac:dyDescent="0.2">
      <c r="A277" s="6" t="s">
        <v>165</v>
      </c>
      <c r="B277" s="7" t="s">
        <v>166</v>
      </c>
      <c r="C277" s="8">
        <v>1</v>
      </c>
      <c r="D277" s="9">
        <v>14.42</v>
      </c>
      <c r="E277" s="9">
        <v>14.42</v>
      </c>
      <c r="F277" s="10">
        <v>39.5</v>
      </c>
      <c r="G277" s="9">
        <v>39.5</v>
      </c>
      <c r="H277" s="8" t="s">
        <v>3534</v>
      </c>
      <c r="I277" s="7" t="s">
        <v>3228</v>
      </c>
      <c r="J277" s="11" t="s">
        <v>3242</v>
      </c>
      <c r="K277" s="7" t="s">
        <v>3221</v>
      </c>
      <c r="L277" s="7" t="s">
        <v>3224</v>
      </c>
      <c r="M277" s="12"/>
    </row>
    <row r="278" spans="1:13" ht="15.2" customHeight="1" x14ac:dyDescent="0.2">
      <c r="A278" s="6" t="s">
        <v>4031</v>
      </c>
      <c r="B278" s="7" t="s">
        <v>3530</v>
      </c>
      <c r="C278" s="8">
        <v>2</v>
      </c>
      <c r="D278" s="9">
        <v>14.42</v>
      </c>
      <c r="E278" s="9">
        <v>28.84</v>
      </c>
      <c r="F278" s="10">
        <v>39.5</v>
      </c>
      <c r="G278" s="9">
        <v>79</v>
      </c>
      <c r="H278" s="8" t="s">
        <v>3531</v>
      </c>
      <c r="I278" s="7" t="s">
        <v>3386</v>
      </c>
      <c r="J278" s="11" t="s">
        <v>3186</v>
      </c>
      <c r="K278" s="7" t="s">
        <v>3221</v>
      </c>
      <c r="L278" s="7" t="s">
        <v>3224</v>
      </c>
      <c r="M278" s="12"/>
    </row>
    <row r="279" spans="1:13" ht="15.2" customHeight="1" x14ac:dyDescent="0.2">
      <c r="A279" s="6" t="s">
        <v>4356</v>
      </c>
      <c r="B279" s="7" t="s">
        <v>3530</v>
      </c>
      <c r="C279" s="8">
        <v>1</v>
      </c>
      <c r="D279" s="9">
        <v>14.42</v>
      </c>
      <c r="E279" s="9">
        <v>14.42</v>
      </c>
      <c r="F279" s="10">
        <v>39.5</v>
      </c>
      <c r="G279" s="9">
        <v>39.5</v>
      </c>
      <c r="H279" s="8" t="s">
        <v>3531</v>
      </c>
      <c r="I279" s="7" t="s">
        <v>3185</v>
      </c>
      <c r="J279" s="11" t="s">
        <v>3186</v>
      </c>
      <c r="K279" s="7" t="s">
        <v>3221</v>
      </c>
      <c r="L279" s="7" t="s">
        <v>3224</v>
      </c>
      <c r="M279" s="12"/>
    </row>
    <row r="280" spans="1:13" ht="15.2" customHeight="1" x14ac:dyDescent="0.2">
      <c r="A280" s="6" t="s">
        <v>3785</v>
      </c>
      <c r="B280" s="7" t="s">
        <v>3530</v>
      </c>
      <c r="C280" s="8">
        <v>1</v>
      </c>
      <c r="D280" s="9">
        <v>14.42</v>
      </c>
      <c r="E280" s="9">
        <v>14.42</v>
      </c>
      <c r="F280" s="10">
        <v>39.5</v>
      </c>
      <c r="G280" s="9">
        <v>39.5</v>
      </c>
      <c r="H280" s="8" t="s">
        <v>3531</v>
      </c>
      <c r="I280" s="7" t="s">
        <v>3203</v>
      </c>
      <c r="J280" s="11" t="s">
        <v>3236</v>
      </c>
      <c r="K280" s="7" t="s">
        <v>3221</v>
      </c>
      <c r="L280" s="7" t="s">
        <v>3224</v>
      </c>
      <c r="M280" s="12"/>
    </row>
    <row r="281" spans="1:13" ht="15.2" customHeight="1" x14ac:dyDescent="0.2">
      <c r="A281" s="6" t="s">
        <v>1747</v>
      </c>
      <c r="B281" s="7" t="s">
        <v>3536</v>
      </c>
      <c r="C281" s="8">
        <v>1</v>
      </c>
      <c r="D281" s="9">
        <v>14.42</v>
      </c>
      <c r="E281" s="9">
        <v>14.42</v>
      </c>
      <c r="F281" s="10">
        <v>39.5</v>
      </c>
      <c r="G281" s="9">
        <v>39.5</v>
      </c>
      <c r="H281" s="8" t="s">
        <v>3537</v>
      </c>
      <c r="I281" s="7" t="s">
        <v>3214</v>
      </c>
      <c r="J281" s="11" t="s">
        <v>3186</v>
      </c>
      <c r="K281" s="7" t="s">
        <v>3221</v>
      </c>
      <c r="L281" s="7" t="s">
        <v>3224</v>
      </c>
      <c r="M281" s="12"/>
    </row>
    <row r="282" spans="1:13" ht="15.2" customHeight="1" x14ac:dyDescent="0.2">
      <c r="A282" s="6" t="s">
        <v>167</v>
      </c>
      <c r="B282" s="7" t="s">
        <v>2947</v>
      </c>
      <c r="C282" s="8">
        <v>1</v>
      </c>
      <c r="D282" s="9">
        <v>14.42</v>
      </c>
      <c r="E282" s="9">
        <v>14.42</v>
      </c>
      <c r="F282" s="10">
        <v>39.5</v>
      </c>
      <c r="G282" s="9">
        <v>39.5</v>
      </c>
      <c r="H282" s="8" t="s">
        <v>2948</v>
      </c>
      <c r="I282" s="7" t="s">
        <v>3286</v>
      </c>
      <c r="J282" s="11" t="s">
        <v>3236</v>
      </c>
      <c r="K282" s="7" t="s">
        <v>3221</v>
      </c>
      <c r="L282" s="7" t="s">
        <v>3224</v>
      </c>
      <c r="M282" s="12"/>
    </row>
    <row r="283" spans="1:13" ht="15.2" customHeight="1" x14ac:dyDescent="0.2">
      <c r="A283" s="6" t="s">
        <v>4034</v>
      </c>
      <c r="B283" s="7" t="s">
        <v>3541</v>
      </c>
      <c r="C283" s="8">
        <v>2</v>
      </c>
      <c r="D283" s="9">
        <v>14.42</v>
      </c>
      <c r="E283" s="9">
        <v>28.84</v>
      </c>
      <c r="F283" s="10">
        <v>39.5</v>
      </c>
      <c r="G283" s="9">
        <v>79</v>
      </c>
      <c r="H283" s="8" t="s">
        <v>3542</v>
      </c>
      <c r="I283" s="7" t="s">
        <v>3182</v>
      </c>
      <c r="J283" s="11" t="s">
        <v>3220</v>
      </c>
      <c r="K283" s="7" t="s">
        <v>3221</v>
      </c>
      <c r="L283" s="7" t="s">
        <v>3250</v>
      </c>
      <c r="M283" s="12"/>
    </row>
    <row r="284" spans="1:13" ht="15.2" customHeight="1" x14ac:dyDescent="0.2">
      <c r="A284" s="6" t="s">
        <v>1746</v>
      </c>
      <c r="B284" s="7" t="s">
        <v>3536</v>
      </c>
      <c r="C284" s="8">
        <v>2</v>
      </c>
      <c r="D284" s="9">
        <v>14.42</v>
      </c>
      <c r="E284" s="9">
        <v>28.84</v>
      </c>
      <c r="F284" s="10">
        <v>39.5</v>
      </c>
      <c r="G284" s="9">
        <v>79</v>
      </c>
      <c r="H284" s="8" t="s">
        <v>3537</v>
      </c>
      <c r="I284" s="7" t="s">
        <v>3263</v>
      </c>
      <c r="J284" s="11" t="s">
        <v>3202</v>
      </c>
      <c r="K284" s="7" t="s">
        <v>3221</v>
      </c>
      <c r="L284" s="7" t="s">
        <v>3224</v>
      </c>
      <c r="M284" s="12"/>
    </row>
    <row r="285" spans="1:13" ht="15.2" customHeight="1" x14ac:dyDescent="0.2">
      <c r="A285" s="6" t="s">
        <v>4035</v>
      </c>
      <c r="B285" s="7" t="s">
        <v>3536</v>
      </c>
      <c r="C285" s="8">
        <v>1</v>
      </c>
      <c r="D285" s="9">
        <v>14.42</v>
      </c>
      <c r="E285" s="9">
        <v>14.42</v>
      </c>
      <c r="F285" s="10">
        <v>39.5</v>
      </c>
      <c r="G285" s="9">
        <v>39.5</v>
      </c>
      <c r="H285" s="8" t="s">
        <v>3537</v>
      </c>
      <c r="I285" s="7" t="s">
        <v>3214</v>
      </c>
      <c r="J285" s="11" t="s">
        <v>3242</v>
      </c>
      <c r="K285" s="7" t="s">
        <v>3221</v>
      </c>
      <c r="L285" s="7" t="s">
        <v>3224</v>
      </c>
      <c r="M285" s="12"/>
    </row>
    <row r="286" spans="1:13" ht="15.2" customHeight="1" x14ac:dyDescent="0.2">
      <c r="A286" s="6" t="s">
        <v>3543</v>
      </c>
      <c r="B286" s="7" t="s">
        <v>3530</v>
      </c>
      <c r="C286" s="8">
        <v>1</v>
      </c>
      <c r="D286" s="9">
        <v>14.42</v>
      </c>
      <c r="E286" s="9">
        <v>14.42</v>
      </c>
      <c r="F286" s="10">
        <v>39.5</v>
      </c>
      <c r="G286" s="9">
        <v>39.5</v>
      </c>
      <c r="H286" s="8" t="s">
        <v>3531</v>
      </c>
      <c r="I286" s="7" t="s">
        <v>3263</v>
      </c>
      <c r="J286" s="11" t="s">
        <v>3202</v>
      </c>
      <c r="K286" s="7" t="s">
        <v>3221</v>
      </c>
      <c r="L286" s="7" t="s">
        <v>3224</v>
      </c>
      <c r="M286" s="12"/>
    </row>
    <row r="287" spans="1:13" ht="15.2" customHeight="1" x14ac:dyDescent="0.2">
      <c r="A287" s="6" t="s">
        <v>168</v>
      </c>
      <c r="B287" s="7" t="s">
        <v>1624</v>
      </c>
      <c r="C287" s="8">
        <v>1</v>
      </c>
      <c r="D287" s="9">
        <v>14.42</v>
      </c>
      <c r="E287" s="9">
        <v>14.42</v>
      </c>
      <c r="F287" s="10">
        <v>39.5</v>
      </c>
      <c r="G287" s="9">
        <v>39.5</v>
      </c>
      <c r="H287" s="8" t="s">
        <v>1625</v>
      </c>
      <c r="I287" s="7" t="s">
        <v>3182</v>
      </c>
      <c r="J287" s="11" t="s">
        <v>3220</v>
      </c>
      <c r="K287" s="7" t="s">
        <v>3221</v>
      </c>
      <c r="L287" s="7" t="s">
        <v>3224</v>
      </c>
      <c r="M287" s="12"/>
    </row>
    <row r="288" spans="1:13" ht="15.2" customHeight="1" x14ac:dyDescent="0.2">
      <c r="A288" s="6" t="s">
        <v>2463</v>
      </c>
      <c r="B288" s="7" t="s">
        <v>3530</v>
      </c>
      <c r="C288" s="8">
        <v>1</v>
      </c>
      <c r="D288" s="9">
        <v>14.42</v>
      </c>
      <c r="E288" s="9">
        <v>14.42</v>
      </c>
      <c r="F288" s="10">
        <v>39.5</v>
      </c>
      <c r="G288" s="9">
        <v>39.5</v>
      </c>
      <c r="H288" s="8" t="s">
        <v>3531</v>
      </c>
      <c r="I288" s="7" t="s">
        <v>3263</v>
      </c>
      <c r="J288" s="11" t="s">
        <v>3231</v>
      </c>
      <c r="K288" s="7" t="s">
        <v>3221</v>
      </c>
      <c r="L288" s="7" t="s">
        <v>3224</v>
      </c>
      <c r="M288" s="12"/>
    </row>
    <row r="289" spans="1:13" ht="15.2" customHeight="1" x14ac:dyDescent="0.2">
      <c r="A289" s="6" t="s">
        <v>3532</v>
      </c>
      <c r="B289" s="7" t="s">
        <v>3533</v>
      </c>
      <c r="C289" s="8">
        <v>1</v>
      </c>
      <c r="D289" s="9">
        <v>14.42</v>
      </c>
      <c r="E289" s="9">
        <v>14.42</v>
      </c>
      <c r="F289" s="10">
        <v>39.5</v>
      </c>
      <c r="G289" s="9">
        <v>39.5</v>
      </c>
      <c r="H289" s="8" t="s">
        <v>3534</v>
      </c>
      <c r="I289" s="7" t="s">
        <v>3228</v>
      </c>
      <c r="J289" s="11" t="s">
        <v>3202</v>
      </c>
      <c r="K289" s="7" t="s">
        <v>3221</v>
      </c>
      <c r="L289" s="7" t="s">
        <v>3224</v>
      </c>
      <c r="M289" s="12"/>
    </row>
    <row r="290" spans="1:13" ht="15.2" customHeight="1" x14ac:dyDescent="0.2">
      <c r="A290" s="6" t="s">
        <v>4357</v>
      </c>
      <c r="B290" s="7" t="s">
        <v>3530</v>
      </c>
      <c r="C290" s="8">
        <v>1</v>
      </c>
      <c r="D290" s="9">
        <v>14.42</v>
      </c>
      <c r="E290" s="9">
        <v>14.42</v>
      </c>
      <c r="F290" s="10">
        <v>39.5</v>
      </c>
      <c r="G290" s="9">
        <v>39.5</v>
      </c>
      <c r="H290" s="8" t="s">
        <v>3531</v>
      </c>
      <c r="I290" s="7" t="s">
        <v>3386</v>
      </c>
      <c r="J290" s="11" t="s">
        <v>3202</v>
      </c>
      <c r="K290" s="7" t="s">
        <v>3221</v>
      </c>
      <c r="L290" s="7" t="s">
        <v>3224</v>
      </c>
      <c r="M290" s="12"/>
    </row>
    <row r="291" spans="1:13" ht="15.2" customHeight="1" x14ac:dyDescent="0.2">
      <c r="A291" s="6" t="s">
        <v>169</v>
      </c>
      <c r="B291" s="7" t="s">
        <v>170</v>
      </c>
      <c r="C291" s="8">
        <v>1</v>
      </c>
      <c r="D291" s="9">
        <v>14.42</v>
      </c>
      <c r="E291" s="9">
        <v>14.42</v>
      </c>
      <c r="F291" s="10">
        <v>39.5</v>
      </c>
      <c r="G291" s="9">
        <v>39.5</v>
      </c>
      <c r="H291" s="8" t="s">
        <v>171</v>
      </c>
      <c r="I291" s="7" t="s">
        <v>3252</v>
      </c>
      <c r="J291" s="11" t="s">
        <v>3186</v>
      </c>
      <c r="K291" s="7" t="s">
        <v>3221</v>
      </c>
      <c r="L291" s="7" t="s">
        <v>3254</v>
      </c>
      <c r="M291" s="12"/>
    </row>
    <row r="292" spans="1:13" ht="15.2" customHeight="1" x14ac:dyDescent="0.2">
      <c r="A292" s="6" t="s">
        <v>1471</v>
      </c>
      <c r="B292" s="7" t="s">
        <v>3536</v>
      </c>
      <c r="C292" s="8">
        <v>1</v>
      </c>
      <c r="D292" s="9">
        <v>14.42</v>
      </c>
      <c r="E292" s="9">
        <v>14.42</v>
      </c>
      <c r="F292" s="10">
        <v>39.5</v>
      </c>
      <c r="G292" s="9">
        <v>39.5</v>
      </c>
      <c r="H292" s="8" t="s">
        <v>3537</v>
      </c>
      <c r="I292" s="7" t="s">
        <v>3257</v>
      </c>
      <c r="J292" s="11" t="s">
        <v>3186</v>
      </c>
      <c r="K292" s="7" t="s">
        <v>3221</v>
      </c>
      <c r="L292" s="7" t="s">
        <v>3224</v>
      </c>
      <c r="M292" s="12"/>
    </row>
    <row r="293" spans="1:13" ht="15.2" customHeight="1" x14ac:dyDescent="0.2">
      <c r="A293" s="6" t="s">
        <v>172</v>
      </c>
      <c r="B293" s="7" t="s">
        <v>3536</v>
      </c>
      <c r="C293" s="8">
        <v>1</v>
      </c>
      <c r="D293" s="9">
        <v>14.42</v>
      </c>
      <c r="E293" s="9">
        <v>14.42</v>
      </c>
      <c r="F293" s="10">
        <v>39.5</v>
      </c>
      <c r="G293" s="9">
        <v>39.5</v>
      </c>
      <c r="H293" s="8" t="s">
        <v>3537</v>
      </c>
      <c r="I293" s="7" t="s">
        <v>3257</v>
      </c>
      <c r="J293" s="11" t="s">
        <v>3242</v>
      </c>
      <c r="K293" s="7" t="s">
        <v>3221</v>
      </c>
      <c r="L293" s="7" t="s">
        <v>3224</v>
      </c>
      <c r="M293" s="12"/>
    </row>
    <row r="294" spans="1:13" ht="15.2" customHeight="1" x14ac:dyDescent="0.2">
      <c r="A294" s="6" t="s">
        <v>1473</v>
      </c>
      <c r="B294" s="7" t="s">
        <v>3536</v>
      </c>
      <c r="C294" s="8">
        <v>2</v>
      </c>
      <c r="D294" s="9">
        <v>14.42</v>
      </c>
      <c r="E294" s="9">
        <v>28.84</v>
      </c>
      <c r="F294" s="10">
        <v>39.5</v>
      </c>
      <c r="G294" s="9">
        <v>79</v>
      </c>
      <c r="H294" s="8" t="s">
        <v>3537</v>
      </c>
      <c r="I294" s="7" t="s">
        <v>3214</v>
      </c>
      <c r="J294" s="11" t="s">
        <v>3220</v>
      </c>
      <c r="K294" s="7" t="s">
        <v>3221</v>
      </c>
      <c r="L294" s="7" t="s">
        <v>3224</v>
      </c>
      <c r="M294" s="12"/>
    </row>
    <row r="295" spans="1:13" ht="15.2" customHeight="1" x14ac:dyDescent="0.2">
      <c r="A295" s="6" t="s">
        <v>2946</v>
      </c>
      <c r="B295" s="7" t="s">
        <v>2947</v>
      </c>
      <c r="C295" s="8">
        <v>2</v>
      </c>
      <c r="D295" s="9">
        <v>14.42</v>
      </c>
      <c r="E295" s="9">
        <v>28.84</v>
      </c>
      <c r="F295" s="10">
        <v>39.5</v>
      </c>
      <c r="G295" s="9">
        <v>79</v>
      </c>
      <c r="H295" s="8" t="s">
        <v>2948</v>
      </c>
      <c r="I295" s="7" t="s">
        <v>3286</v>
      </c>
      <c r="J295" s="11" t="s">
        <v>3202</v>
      </c>
      <c r="K295" s="7" t="s">
        <v>3221</v>
      </c>
      <c r="L295" s="7" t="s">
        <v>3224</v>
      </c>
      <c r="M295" s="12"/>
    </row>
    <row r="296" spans="1:13" ht="15.2" customHeight="1" x14ac:dyDescent="0.2">
      <c r="A296" s="6" t="s">
        <v>4032</v>
      </c>
      <c r="B296" s="7" t="s">
        <v>4033</v>
      </c>
      <c r="C296" s="8">
        <v>1</v>
      </c>
      <c r="D296" s="9">
        <v>14.42</v>
      </c>
      <c r="E296" s="9">
        <v>14.42</v>
      </c>
      <c r="F296" s="10">
        <v>39.5</v>
      </c>
      <c r="G296" s="9">
        <v>39.5</v>
      </c>
      <c r="H296" s="8" t="s">
        <v>3546</v>
      </c>
      <c r="I296" s="7" t="s">
        <v>3207</v>
      </c>
      <c r="J296" s="11" t="s">
        <v>3231</v>
      </c>
      <c r="K296" s="7" t="s">
        <v>3221</v>
      </c>
      <c r="L296" s="7" t="s">
        <v>3224</v>
      </c>
      <c r="M296" s="12"/>
    </row>
    <row r="297" spans="1:13" ht="15.2" customHeight="1" x14ac:dyDescent="0.2">
      <c r="A297" s="6" t="s">
        <v>2943</v>
      </c>
      <c r="B297" s="7" t="s">
        <v>3536</v>
      </c>
      <c r="C297" s="8">
        <v>1</v>
      </c>
      <c r="D297" s="9">
        <v>14.42</v>
      </c>
      <c r="E297" s="9">
        <v>14.42</v>
      </c>
      <c r="F297" s="10">
        <v>39.5</v>
      </c>
      <c r="G297" s="9">
        <v>39.5</v>
      </c>
      <c r="H297" s="8" t="s">
        <v>3537</v>
      </c>
      <c r="I297" s="7" t="s">
        <v>3257</v>
      </c>
      <c r="J297" s="11" t="s">
        <v>3220</v>
      </c>
      <c r="K297" s="7" t="s">
        <v>3221</v>
      </c>
      <c r="L297" s="7" t="s">
        <v>3224</v>
      </c>
      <c r="M297" s="12"/>
    </row>
    <row r="298" spans="1:13" ht="15.2" customHeight="1" x14ac:dyDescent="0.2">
      <c r="A298" s="6" t="s">
        <v>2464</v>
      </c>
      <c r="B298" s="7" t="s">
        <v>3536</v>
      </c>
      <c r="C298" s="8">
        <v>3</v>
      </c>
      <c r="D298" s="9">
        <v>14.42</v>
      </c>
      <c r="E298" s="9">
        <v>43.26</v>
      </c>
      <c r="F298" s="10">
        <v>39.5</v>
      </c>
      <c r="G298" s="9">
        <v>118.5</v>
      </c>
      <c r="H298" s="8" t="s">
        <v>3537</v>
      </c>
      <c r="I298" s="7" t="s">
        <v>3257</v>
      </c>
      <c r="J298" s="11" t="s">
        <v>3202</v>
      </c>
      <c r="K298" s="7" t="s">
        <v>3221</v>
      </c>
      <c r="L298" s="7" t="s">
        <v>3224</v>
      </c>
      <c r="M298" s="12"/>
    </row>
    <row r="299" spans="1:13" ht="15.2" customHeight="1" x14ac:dyDescent="0.2">
      <c r="A299" s="6" t="s">
        <v>4354</v>
      </c>
      <c r="B299" s="7" t="s">
        <v>3530</v>
      </c>
      <c r="C299" s="8">
        <v>1</v>
      </c>
      <c r="D299" s="9">
        <v>14.42</v>
      </c>
      <c r="E299" s="9">
        <v>14.42</v>
      </c>
      <c r="F299" s="10">
        <v>39.5</v>
      </c>
      <c r="G299" s="9">
        <v>39.5</v>
      </c>
      <c r="H299" s="8" t="s">
        <v>3531</v>
      </c>
      <c r="I299" s="7" t="s">
        <v>3185</v>
      </c>
      <c r="J299" s="11" t="s">
        <v>3231</v>
      </c>
      <c r="K299" s="7" t="s">
        <v>3221</v>
      </c>
      <c r="L299" s="7" t="s">
        <v>3224</v>
      </c>
      <c r="M299" s="12"/>
    </row>
    <row r="300" spans="1:13" ht="15.2" customHeight="1" x14ac:dyDescent="0.2">
      <c r="A300" s="6" t="s">
        <v>3540</v>
      </c>
      <c r="B300" s="7" t="s">
        <v>3541</v>
      </c>
      <c r="C300" s="8">
        <v>1</v>
      </c>
      <c r="D300" s="9">
        <v>14.42</v>
      </c>
      <c r="E300" s="9">
        <v>14.42</v>
      </c>
      <c r="F300" s="10">
        <v>39.5</v>
      </c>
      <c r="G300" s="9">
        <v>39.5</v>
      </c>
      <c r="H300" s="8" t="s">
        <v>3542</v>
      </c>
      <c r="I300" s="7" t="s">
        <v>3182</v>
      </c>
      <c r="J300" s="11" t="s">
        <v>3231</v>
      </c>
      <c r="K300" s="7" t="s">
        <v>3221</v>
      </c>
      <c r="L300" s="7" t="s">
        <v>3250</v>
      </c>
      <c r="M300" s="12"/>
    </row>
    <row r="301" spans="1:13" ht="15.2" customHeight="1" x14ac:dyDescent="0.2">
      <c r="A301" s="6" t="s">
        <v>173</v>
      </c>
      <c r="B301" s="7" t="s">
        <v>3530</v>
      </c>
      <c r="C301" s="8">
        <v>1</v>
      </c>
      <c r="D301" s="9">
        <v>14.42</v>
      </c>
      <c r="E301" s="9">
        <v>14.42</v>
      </c>
      <c r="F301" s="10">
        <v>39.5</v>
      </c>
      <c r="G301" s="9">
        <v>39.5</v>
      </c>
      <c r="H301" s="8" t="s">
        <v>3531</v>
      </c>
      <c r="I301" s="7" t="s">
        <v>3185</v>
      </c>
      <c r="J301" s="11" t="s">
        <v>3220</v>
      </c>
      <c r="K301" s="7" t="s">
        <v>3221</v>
      </c>
      <c r="L301" s="7" t="s">
        <v>3224</v>
      </c>
      <c r="M301" s="12"/>
    </row>
    <row r="302" spans="1:13" ht="15.2" customHeight="1" x14ac:dyDescent="0.2">
      <c r="A302" s="6" t="s">
        <v>1474</v>
      </c>
      <c r="B302" s="7" t="s">
        <v>3530</v>
      </c>
      <c r="C302" s="8">
        <v>1</v>
      </c>
      <c r="D302" s="9">
        <v>14.42</v>
      </c>
      <c r="E302" s="9">
        <v>14.42</v>
      </c>
      <c r="F302" s="10">
        <v>39.5</v>
      </c>
      <c r="G302" s="9">
        <v>39.5</v>
      </c>
      <c r="H302" s="8" t="s">
        <v>3531</v>
      </c>
      <c r="I302" s="7" t="s">
        <v>3203</v>
      </c>
      <c r="J302" s="11" t="s">
        <v>3242</v>
      </c>
      <c r="K302" s="7" t="s">
        <v>3221</v>
      </c>
      <c r="L302" s="7" t="s">
        <v>3224</v>
      </c>
      <c r="M302" s="12"/>
    </row>
    <row r="303" spans="1:13" ht="15.2" customHeight="1" x14ac:dyDescent="0.2">
      <c r="A303" s="6" t="s">
        <v>1626</v>
      </c>
      <c r="B303" s="7" t="s">
        <v>1627</v>
      </c>
      <c r="C303" s="8">
        <v>1</v>
      </c>
      <c r="D303" s="9">
        <v>14.1</v>
      </c>
      <c r="E303" s="9">
        <v>14.1</v>
      </c>
      <c r="F303" s="10">
        <v>39.5</v>
      </c>
      <c r="G303" s="9">
        <v>39.5</v>
      </c>
      <c r="H303" s="8" t="s">
        <v>4036</v>
      </c>
      <c r="I303" s="7" t="s">
        <v>3252</v>
      </c>
      <c r="J303" s="11" t="s">
        <v>3220</v>
      </c>
      <c r="K303" s="7" t="s">
        <v>3232</v>
      </c>
      <c r="L303" s="7" t="s">
        <v>3306</v>
      </c>
      <c r="M303" s="12"/>
    </row>
    <row r="304" spans="1:13" ht="15.2" customHeight="1" x14ac:dyDescent="0.2">
      <c r="A304" s="6" t="s">
        <v>174</v>
      </c>
      <c r="B304" s="7" t="s">
        <v>2950</v>
      </c>
      <c r="C304" s="8">
        <v>1</v>
      </c>
      <c r="D304" s="9">
        <v>14.05</v>
      </c>
      <c r="E304" s="9">
        <v>14.05</v>
      </c>
      <c r="F304" s="10">
        <v>39.99</v>
      </c>
      <c r="G304" s="9">
        <v>39.99</v>
      </c>
      <c r="H304" s="8" t="s">
        <v>2951</v>
      </c>
      <c r="I304" s="7" t="s">
        <v>3185</v>
      </c>
      <c r="J304" s="11" t="s">
        <v>3242</v>
      </c>
      <c r="K304" s="7" t="s">
        <v>3221</v>
      </c>
      <c r="L304" s="7" t="s">
        <v>3250</v>
      </c>
      <c r="M304" s="12"/>
    </row>
    <row r="305" spans="1:13" ht="15.2" customHeight="1" x14ac:dyDescent="0.2">
      <c r="A305" s="6" t="s">
        <v>175</v>
      </c>
      <c r="B305" s="7" t="s">
        <v>176</v>
      </c>
      <c r="C305" s="8">
        <v>1</v>
      </c>
      <c r="D305" s="9">
        <v>13.25</v>
      </c>
      <c r="E305" s="9">
        <v>13.25</v>
      </c>
      <c r="F305" s="10">
        <v>29.99</v>
      </c>
      <c r="G305" s="9">
        <v>29.99</v>
      </c>
      <c r="H305" s="8" t="s">
        <v>1917</v>
      </c>
      <c r="I305" s="7" t="s">
        <v>3185</v>
      </c>
      <c r="J305" s="11" t="s">
        <v>3338</v>
      </c>
      <c r="K305" s="7" t="s">
        <v>3326</v>
      </c>
      <c r="L305" s="7" t="s">
        <v>3868</v>
      </c>
      <c r="M305" s="12"/>
    </row>
    <row r="306" spans="1:13" ht="15.2" customHeight="1" x14ac:dyDescent="0.2">
      <c r="A306" s="6" t="s">
        <v>177</v>
      </c>
      <c r="B306" s="7" t="s">
        <v>178</v>
      </c>
      <c r="C306" s="8">
        <v>1</v>
      </c>
      <c r="D306" s="9">
        <v>13.25</v>
      </c>
      <c r="E306" s="9">
        <v>13.25</v>
      </c>
      <c r="F306" s="10">
        <v>29.99</v>
      </c>
      <c r="G306" s="9">
        <v>29.99</v>
      </c>
      <c r="H306" s="8" t="s">
        <v>179</v>
      </c>
      <c r="I306" s="7" t="s">
        <v>3234</v>
      </c>
      <c r="J306" s="11" t="s">
        <v>3240</v>
      </c>
      <c r="K306" s="7" t="s">
        <v>3326</v>
      </c>
      <c r="L306" s="7" t="s">
        <v>3868</v>
      </c>
      <c r="M306" s="12"/>
    </row>
    <row r="307" spans="1:13" ht="15.2" customHeight="1" x14ac:dyDescent="0.2">
      <c r="A307" s="6" t="s">
        <v>1918</v>
      </c>
      <c r="B307" s="7" t="s">
        <v>1919</v>
      </c>
      <c r="C307" s="8">
        <v>1</v>
      </c>
      <c r="D307" s="9">
        <v>13.05</v>
      </c>
      <c r="E307" s="9">
        <v>13.05</v>
      </c>
      <c r="F307" s="10">
        <v>34.99</v>
      </c>
      <c r="G307" s="9">
        <v>34.99</v>
      </c>
      <c r="H307" s="8" t="s">
        <v>1820</v>
      </c>
      <c r="I307" s="7" t="s">
        <v>3234</v>
      </c>
      <c r="J307" s="11" t="s">
        <v>3240</v>
      </c>
      <c r="K307" s="7" t="s">
        <v>3326</v>
      </c>
      <c r="L307" s="7" t="s">
        <v>3391</v>
      </c>
      <c r="M307" s="12"/>
    </row>
    <row r="308" spans="1:13" ht="15.2" customHeight="1" x14ac:dyDescent="0.2">
      <c r="A308" s="6" t="s">
        <v>180</v>
      </c>
      <c r="B308" s="7" t="s">
        <v>181</v>
      </c>
      <c r="C308" s="8">
        <v>1</v>
      </c>
      <c r="D308" s="9">
        <v>13</v>
      </c>
      <c r="E308" s="9">
        <v>13</v>
      </c>
      <c r="F308" s="10">
        <v>29.99</v>
      </c>
      <c r="G308" s="9">
        <v>29.99</v>
      </c>
      <c r="H308" s="8" t="s">
        <v>182</v>
      </c>
      <c r="I308" s="7" t="s">
        <v>3364</v>
      </c>
      <c r="J308" s="11" t="s">
        <v>3351</v>
      </c>
      <c r="K308" s="7" t="s">
        <v>3326</v>
      </c>
      <c r="L308" s="7" t="s">
        <v>3391</v>
      </c>
      <c r="M308" s="12"/>
    </row>
    <row r="309" spans="1:13" ht="15.2" customHeight="1" x14ac:dyDescent="0.2">
      <c r="A309" s="6" t="s">
        <v>183</v>
      </c>
      <c r="B309" s="7" t="s">
        <v>184</v>
      </c>
      <c r="C309" s="8">
        <v>1</v>
      </c>
      <c r="D309" s="9">
        <v>13</v>
      </c>
      <c r="E309" s="9">
        <v>13</v>
      </c>
      <c r="F309" s="10">
        <v>39</v>
      </c>
      <c r="G309" s="9">
        <v>39</v>
      </c>
      <c r="H309" s="8" t="s">
        <v>1748</v>
      </c>
      <c r="I309" s="7"/>
      <c r="J309" s="11" t="s">
        <v>3236</v>
      </c>
      <c r="K309" s="7" t="s">
        <v>3295</v>
      </c>
      <c r="L309" s="7" t="s">
        <v>3296</v>
      </c>
      <c r="M309" s="12"/>
    </row>
    <row r="310" spans="1:13" ht="15.2" customHeight="1" x14ac:dyDescent="0.2">
      <c r="A310" s="6" t="s">
        <v>1821</v>
      </c>
      <c r="B310" s="7" t="s">
        <v>1822</v>
      </c>
      <c r="C310" s="8">
        <v>1</v>
      </c>
      <c r="D310" s="9">
        <v>12.65</v>
      </c>
      <c r="E310" s="9">
        <v>12.65</v>
      </c>
      <c r="F310" s="10">
        <v>29</v>
      </c>
      <c r="G310" s="9">
        <v>29</v>
      </c>
      <c r="H310" s="8" t="s">
        <v>1823</v>
      </c>
      <c r="I310" s="7" t="s">
        <v>3182</v>
      </c>
      <c r="J310" s="11" t="s">
        <v>3331</v>
      </c>
      <c r="K310" s="7" t="s">
        <v>3326</v>
      </c>
      <c r="L310" s="7" t="s">
        <v>3693</v>
      </c>
      <c r="M310" s="12"/>
    </row>
    <row r="311" spans="1:13" ht="15.2" customHeight="1" x14ac:dyDescent="0.2">
      <c r="A311" s="6" t="s">
        <v>185</v>
      </c>
      <c r="B311" s="7" t="s">
        <v>186</v>
      </c>
      <c r="C311" s="8">
        <v>1</v>
      </c>
      <c r="D311" s="9">
        <v>12.5</v>
      </c>
      <c r="E311" s="9">
        <v>12.5</v>
      </c>
      <c r="F311" s="10">
        <v>39</v>
      </c>
      <c r="G311" s="9">
        <v>39</v>
      </c>
      <c r="H311" s="8">
        <v>1047277</v>
      </c>
      <c r="I311" s="7" t="s">
        <v>3185</v>
      </c>
      <c r="J311" s="11" t="s">
        <v>3186</v>
      </c>
      <c r="K311" s="7" t="s">
        <v>3295</v>
      </c>
      <c r="L311" s="7" t="s">
        <v>3296</v>
      </c>
      <c r="M311" s="12"/>
    </row>
    <row r="312" spans="1:13" ht="15.2" customHeight="1" x14ac:dyDescent="0.2">
      <c r="A312" s="6" t="s">
        <v>187</v>
      </c>
      <c r="B312" s="7" t="s">
        <v>188</v>
      </c>
      <c r="C312" s="8">
        <v>1</v>
      </c>
      <c r="D312" s="9">
        <v>12.5</v>
      </c>
      <c r="E312" s="9">
        <v>12.5</v>
      </c>
      <c r="F312" s="10">
        <v>39</v>
      </c>
      <c r="G312" s="9">
        <v>39</v>
      </c>
      <c r="H312" s="8">
        <v>78353</v>
      </c>
      <c r="I312" s="7" t="s">
        <v>3235</v>
      </c>
      <c r="J312" s="11" t="s">
        <v>3271</v>
      </c>
      <c r="K312" s="7" t="s">
        <v>3295</v>
      </c>
      <c r="L312" s="7" t="s">
        <v>3296</v>
      </c>
      <c r="M312" s="12"/>
    </row>
    <row r="313" spans="1:13" ht="15.2" customHeight="1" x14ac:dyDescent="0.2">
      <c r="A313" s="6" t="s">
        <v>189</v>
      </c>
      <c r="B313" s="7" t="s">
        <v>3789</v>
      </c>
      <c r="C313" s="8">
        <v>1</v>
      </c>
      <c r="D313" s="9">
        <v>12</v>
      </c>
      <c r="E313" s="9">
        <v>12</v>
      </c>
      <c r="F313" s="10">
        <v>39</v>
      </c>
      <c r="G313" s="9">
        <v>39</v>
      </c>
      <c r="H313" s="8" t="s">
        <v>3790</v>
      </c>
      <c r="I313" s="7" t="s">
        <v>3185</v>
      </c>
      <c r="J313" s="11" t="s">
        <v>3231</v>
      </c>
      <c r="K313" s="7" t="s">
        <v>3295</v>
      </c>
      <c r="L313" s="7" t="s">
        <v>3296</v>
      </c>
      <c r="M313" s="12"/>
    </row>
    <row r="314" spans="1:13" ht="15.2" customHeight="1" x14ac:dyDescent="0.2">
      <c r="A314" s="6" t="s">
        <v>190</v>
      </c>
      <c r="B314" s="7" t="s">
        <v>191</v>
      </c>
      <c r="C314" s="8">
        <v>1</v>
      </c>
      <c r="D314" s="9">
        <v>11.5</v>
      </c>
      <c r="E314" s="9">
        <v>11.5</v>
      </c>
      <c r="F314" s="10">
        <v>39</v>
      </c>
      <c r="G314" s="9">
        <v>39</v>
      </c>
      <c r="H314" s="8" t="s">
        <v>1497</v>
      </c>
      <c r="I314" s="7"/>
      <c r="J314" s="11" t="s">
        <v>3220</v>
      </c>
      <c r="K314" s="7" t="s">
        <v>3295</v>
      </c>
      <c r="L314" s="7" t="s">
        <v>3296</v>
      </c>
      <c r="M314" s="12"/>
    </row>
    <row r="315" spans="1:13" ht="15.2" customHeight="1" x14ac:dyDescent="0.2">
      <c r="A315" s="6" t="s">
        <v>1925</v>
      </c>
      <c r="B315" s="7" t="s">
        <v>1926</v>
      </c>
      <c r="C315" s="8">
        <v>2</v>
      </c>
      <c r="D315" s="9">
        <v>11</v>
      </c>
      <c r="E315" s="9">
        <v>22</v>
      </c>
      <c r="F315" s="10">
        <v>27.99</v>
      </c>
      <c r="G315" s="9">
        <v>55.98</v>
      </c>
      <c r="H315" s="8" t="s">
        <v>3560</v>
      </c>
      <c r="I315" s="7" t="s">
        <v>3390</v>
      </c>
      <c r="J315" s="11" t="s">
        <v>3202</v>
      </c>
      <c r="K315" s="7" t="s">
        <v>3343</v>
      </c>
      <c r="L315" s="7" t="s">
        <v>3561</v>
      </c>
      <c r="M315" s="12"/>
    </row>
    <row r="316" spans="1:13" ht="15.2" customHeight="1" x14ac:dyDescent="0.2">
      <c r="A316" s="6" t="s">
        <v>3558</v>
      </c>
      <c r="B316" s="7" t="s">
        <v>3559</v>
      </c>
      <c r="C316" s="8">
        <v>1</v>
      </c>
      <c r="D316" s="9">
        <v>11</v>
      </c>
      <c r="E316" s="9">
        <v>11</v>
      </c>
      <c r="F316" s="10">
        <v>27.99</v>
      </c>
      <c r="G316" s="9">
        <v>27.99</v>
      </c>
      <c r="H316" s="8" t="s">
        <v>3560</v>
      </c>
      <c r="I316" s="7" t="s">
        <v>3321</v>
      </c>
      <c r="J316" s="11" t="s">
        <v>3231</v>
      </c>
      <c r="K316" s="7" t="s">
        <v>3343</v>
      </c>
      <c r="L316" s="7" t="s">
        <v>3561</v>
      </c>
      <c r="M316" s="12"/>
    </row>
    <row r="317" spans="1:13" ht="15.2" customHeight="1" x14ac:dyDescent="0.2">
      <c r="A317" s="6" t="s">
        <v>192</v>
      </c>
      <c r="B317" s="7" t="s">
        <v>571</v>
      </c>
      <c r="C317" s="8">
        <v>1</v>
      </c>
      <c r="D317" s="9">
        <v>11</v>
      </c>
      <c r="E317" s="9">
        <v>11</v>
      </c>
      <c r="F317" s="10">
        <v>39</v>
      </c>
      <c r="G317" s="9">
        <v>39</v>
      </c>
      <c r="H317" s="8" t="s">
        <v>572</v>
      </c>
      <c r="I317" s="7" t="s">
        <v>3252</v>
      </c>
      <c r="J317" s="11" t="s">
        <v>3220</v>
      </c>
      <c r="K317" s="7" t="s">
        <v>3295</v>
      </c>
      <c r="L317" s="7" t="s">
        <v>3296</v>
      </c>
      <c r="M317" s="12"/>
    </row>
    <row r="318" spans="1:13" ht="15.2" customHeight="1" x14ac:dyDescent="0.2">
      <c r="A318" s="6" t="s">
        <v>1751</v>
      </c>
      <c r="B318" s="7" t="s">
        <v>1752</v>
      </c>
      <c r="C318" s="8">
        <v>2</v>
      </c>
      <c r="D318" s="9">
        <v>11</v>
      </c>
      <c r="E318" s="9">
        <v>22</v>
      </c>
      <c r="F318" s="10">
        <v>27.99</v>
      </c>
      <c r="G318" s="9">
        <v>55.98</v>
      </c>
      <c r="H318" s="8" t="s">
        <v>3560</v>
      </c>
      <c r="I318" s="7" t="s">
        <v>3490</v>
      </c>
      <c r="J318" s="11" t="s">
        <v>3231</v>
      </c>
      <c r="K318" s="7" t="s">
        <v>3343</v>
      </c>
      <c r="L318" s="7" t="s">
        <v>3561</v>
      </c>
      <c r="M318" s="12"/>
    </row>
    <row r="319" spans="1:13" ht="15.2" customHeight="1" x14ac:dyDescent="0.2">
      <c r="A319" s="6" t="s">
        <v>3793</v>
      </c>
      <c r="B319" s="7" t="s">
        <v>3794</v>
      </c>
      <c r="C319" s="8">
        <v>2</v>
      </c>
      <c r="D319" s="9">
        <v>11</v>
      </c>
      <c r="E319" s="9">
        <v>22</v>
      </c>
      <c r="F319" s="10">
        <v>27.99</v>
      </c>
      <c r="G319" s="9">
        <v>55.98</v>
      </c>
      <c r="H319" s="8" t="s">
        <v>3560</v>
      </c>
      <c r="I319" s="7" t="s">
        <v>3490</v>
      </c>
      <c r="J319" s="11" t="s">
        <v>3186</v>
      </c>
      <c r="K319" s="7" t="s">
        <v>3343</v>
      </c>
      <c r="L319" s="7" t="s">
        <v>3561</v>
      </c>
      <c r="M319" s="12"/>
    </row>
    <row r="320" spans="1:13" ht="15.2" customHeight="1" x14ac:dyDescent="0.2">
      <c r="A320" s="6" t="s">
        <v>193</v>
      </c>
      <c r="B320" s="7" t="s">
        <v>194</v>
      </c>
      <c r="C320" s="8">
        <v>2</v>
      </c>
      <c r="D320" s="9">
        <v>10.9</v>
      </c>
      <c r="E320" s="9">
        <v>21.8</v>
      </c>
      <c r="F320" s="10">
        <v>22.99</v>
      </c>
      <c r="G320" s="9">
        <v>45.98</v>
      </c>
      <c r="H320" s="8" t="s">
        <v>1511</v>
      </c>
      <c r="I320" s="7" t="s">
        <v>3286</v>
      </c>
      <c r="J320" s="11" t="s">
        <v>3231</v>
      </c>
      <c r="K320" s="7" t="s">
        <v>3326</v>
      </c>
      <c r="L320" s="7" t="s">
        <v>3550</v>
      </c>
      <c r="M320" s="12"/>
    </row>
    <row r="321" spans="1:13" ht="15.2" customHeight="1" x14ac:dyDescent="0.2">
      <c r="A321" s="6" t="s">
        <v>195</v>
      </c>
      <c r="B321" s="7" t="s">
        <v>4038</v>
      </c>
      <c r="C321" s="8">
        <v>1</v>
      </c>
      <c r="D321" s="9">
        <v>10.77</v>
      </c>
      <c r="E321" s="9">
        <v>10.77</v>
      </c>
      <c r="F321" s="10">
        <v>29.5</v>
      </c>
      <c r="G321" s="9">
        <v>29.5</v>
      </c>
      <c r="H321" s="8" t="s">
        <v>4039</v>
      </c>
      <c r="I321" s="7" t="s">
        <v>3191</v>
      </c>
      <c r="J321" s="11" t="s">
        <v>3202</v>
      </c>
      <c r="K321" s="7" t="s">
        <v>3221</v>
      </c>
      <c r="L321" s="7" t="s">
        <v>3224</v>
      </c>
      <c r="M321" s="12"/>
    </row>
    <row r="322" spans="1:13" ht="15.2" customHeight="1" x14ac:dyDescent="0.2">
      <c r="A322" s="6" t="s">
        <v>2991</v>
      </c>
      <c r="B322" s="7" t="s">
        <v>2988</v>
      </c>
      <c r="C322" s="8">
        <v>1</v>
      </c>
      <c r="D322" s="9">
        <v>10.77</v>
      </c>
      <c r="E322" s="9">
        <v>10.77</v>
      </c>
      <c r="F322" s="10">
        <v>29.5</v>
      </c>
      <c r="G322" s="9">
        <v>29.5</v>
      </c>
      <c r="H322" s="8" t="s">
        <v>2989</v>
      </c>
      <c r="I322" s="7" t="s">
        <v>3185</v>
      </c>
      <c r="J322" s="11" t="s">
        <v>3242</v>
      </c>
      <c r="K322" s="7" t="s">
        <v>3221</v>
      </c>
      <c r="L322" s="7" t="s">
        <v>3250</v>
      </c>
      <c r="M322" s="12"/>
    </row>
    <row r="323" spans="1:13" ht="15.2" customHeight="1" x14ac:dyDescent="0.2">
      <c r="A323" s="6" t="s">
        <v>4037</v>
      </c>
      <c r="B323" s="7" t="s">
        <v>4038</v>
      </c>
      <c r="C323" s="8">
        <v>1</v>
      </c>
      <c r="D323" s="9">
        <v>10.77</v>
      </c>
      <c r="E323" s="9">
        <v>10.77</v>
      </c>
      <c r="F323" s="10">
        <v>29.5</v>
      </c>
      <c r="G323" s="9">
        <v>29.5</v>
      </c>
      <c r="H323" s="8" t="s">
        <v>4039</v>
      </c>
      <c r="I323" s="7" t="s">
        <v>3191</v>
      </c>
      <c r="J323" s="11" t="s">
        <v>3231</v>
      </c>
      <c r="K323" s="7" t="s">
        <v>3221</v>
      </c>
      <c r="L323" s="7" t="s">
        <v>3224</v>
      </c>
      <c r="M323" s="12"/>
    </row>
    <row r="324" spans="1:13" ht="15.2" customHeight="1" x14ac:dyDescent="0.2">
      <c r="A324" s="6" t="s">
        <v>196</v>
      </c>
      <c r="B324" s="7" t="s">
        <v>197</v>
      </c>
      <c r="C324" s="8">
        <v>1</v>
      </c>
      <c r="D324" s="9">
        <v>10.7</v>
      </c>
      <c r="E324" s="9">
        <v>10.7</v>
      </c>
      <c r="F324" s="10">
        <v>22.99</v>
      </c>
      <c r="G324" s="9">
        <v>22.99</v>
      </c>
      <c r="H324" s="8" t="s">
        <v>198</v>
      </c>
      <c r="I324" s="7" t="s">
        <v>3210</v>
      </c>
      <c r="J324" s="11" t="s">
        <v>3347</v>
      </c>
      <c r="K324" s="7" t="s">
        <v>3326</v>
      </c>
      <c r="L324" s="7" t="s">
        <v>3550</v>
      </c>
      <c r="M324" s="12"/>
    </row>
    <row r="325" spans="1:13" ht="15.2" customHeight="1" x14ac:dyDescent="0.2">
      <c r="A325" s="6" t="s">
        <v>199</v>
      </c>
      <c r="B325" s="7" t="s">
        <v>200</v>
      </c>
      <c r="C325" s="8">
        <v>1</v>
      </c>
      <c r="D325" s="9">
        <v>10.5</v>
      </c>
      <c r="E325" s="9">
        <v>10.5</v>
      </c>
      <c r="F325" s="10">
        <v>39</v>
      </c>
      <c r="G325" s="9">
        <v>39</v>
      </c>
      <c r="H325" s="8">
        <v>1050436</v>
      </c>
      <c r="I325" s="7" t="s">
        <v>3252</v>
      </c>
      <c r="J325" s="11" t="s">
        <v>3220</v>
      </c>
      <c r="K325" s="7" t="s">
        <v>3295</v>
      </c>
      <c r="L325" s="7" t="s">
        <v>3296</v>
      </c>
      <c r="M325" s="12"/>
    </row>
    <row r="326" spans="1:13" ht="15.2" customHeight="1" x14ac:dyDescent="0.2">
      <c r="A326" s="6" t="s">
        <v>1635</v>
      </c>
      <c r="B326" s="7" t="s">
        <v>1636</v>
      </c>
      <c r="C326" s="8">
        <v>1</v>
      </c>
      <c r="D326" s="9">
        <v>10</v>
      </c>
      <c r="E326" s="9">
        <v>10</v>
      </c>
      <c r="F326" s="10">
        <v>24.99</v>
      </c>
      <c r="G326" s="9">
        <v>24.99</v>
      </c>
      <c r="H326" s="8" t="s">
        <v>4380</v>
      </c>
      <c r="I326" s="7" t="s">
        <v>3288</v>
      </c>
      <c r="J326" s="11" t="s">
        <v>3202</v>
      </c>
      <c r="K326" s="7" t="s">
        <v>3343</v>
      </c>
      <c r="L326" s="7" t="s">
        <v>3324</v>
      </c>
      <c r="M326" s="12"/>
    </row>
    <row r="327" spans="1:13" ht="15.2" customHeight="1" x14ac:dyDescent="0.2">
      <c r="A327" s="6" t="s">
        <v>734</v>
      </c>
      <c r="B327" s="7" t="s">
        <v>735</v>
      </c>
      <c r="C327" s="8">
        <v>1</v>
      </c>
      <c r="D327" s="9">
        <v>10</v>
      </c>
      <c r="E327" s="9">
        <v>10</v>
      </c>
      <c r="F327" s="10">
        <v>24.99</v>
      </c>
      <c r="G327" s="9">
        <v>24.99</v>
      </c>
      <c r="H327" s="8" t="s">
        <v>4380</v>
      </c>
      <c r="I327" s="7" t="s">
        <v>3252</v>
      </c>
      <c r="J327" s="11" t="s">
        <v>3220</v>
      </c>
      <c r="K327" s="7" t="s">
        <v>3343</v>
      </c>
      <c r="L327" s="7" t="s">
        <v>3324</v>
      </c>
      <c r="M327" s="12"/>
    </row>
    <row r="328" spans="1:13" ht="15.2" customHeight="1" x14ac:dyDescent="0.2">
      <c r="A328" s="6" t="s">
        <v>201</v>
      </c>
      <c r="B328" s="7" t="s">
        <v>202</v>
      </c>
      <c r="C328" s="8">
        <v>1</v>
      </c>
      <c r="D328" s="9">
        <v>10</v>
      </c>
      <c r="E328" s="9">
        <v>10</v>
      </c>
      <c r="F328" s="10">
        <v>24.99</v>
      </c>
      <c r="G328" s="9">
        <v>24.99</v>
      </c>
      <c r="H328" s="8" t="s">
        <v>4380</v>
      </c>
      <c r="I328" s="7" t="s">
        <v>3252</v>
      </c>
      <c r="J328" s="11" t="s">
        <v>3242</v>
      </c>
      <c r="K328" s="7" t="s">
        <v>3343</v>
      </c>
      <c r="L328" s="7" t="s">
        <v>3324</v>
      </c>
      <c r="M328" s="12"/>
    </row>
    <row r="329" spans="1:13" ht="15.2" customHeight="1" x14ac:dyDescent="0.2">
      <c r="A329" s="6" t="s">
        <v>2331</v>
      </c>
      <c r="B329" s="7" t="s">
        <v>2332</v>
      </c>
      <c r="C329" s="8">
        <v>1</v>
      </c>
      <c r="D329" s="9">
        <v>10</v>
      </c>
      <c r="E329" s="9">
        <v>10</v>
      </c>
      <c r="F329" s="10">
        <v>24.99</v>
      </c>
      <c r="G329" s="9">
        <v>24.99</v>
      </c>
      <c r="H329" s="8" t="s">
        <v>4380</v>
      </c>
      <c r="I329" s="7" t="s">
        <v>3381</v>
      </c>
      <c r="J329" s="11" t="s">
        <v>3202</v>
      </c>
      <c r="K329" s="7" t="s">
        <v>3343</v>
      </c>
      <c r="L329" s="7" t="s">
        <v>3324</v>
      </c>
      <c r="M329" s="12"/>
    </row>
    <row r="330" spans="1:13" ht="15.2" customHeight="1" x14ac:dyDescent="0.2">
      <c r="A330" s="6" t="s">
        <v>2333</v>
      </c>
      <c r="B330" s="7" t="s">
        <v>2334</v>
      </c>
      <c r="C330" s="8">
        <v>1</v>
      </c>
      <c r="D330" s="9">
        <v>10</v>
      </c>
      <c r="E330" s="9">
        <v>10</v>
      </c>
      <c r="F330" s="10">
        <v>24.99</v>
      </c>
      <c r="G330" s="9">
        <v>24.99</v>
      </c>
      <c r="H330" s="8" t="s">
        <v>4380</v>
      </c>
      <c r="I330" s="7" t="s">
        <v>3381</v>
      </c>
      <c r="J330" s="11" t="s">
        <v>3220</v>
      </c>
      <c r="K330" s="7" t="s">
        <v>3343</v>
      </c>
      <c r="L330" s="7" t="s">
        <v>3324</v>
      </c>
      <c r="M330" s="12"/>
    </row>
    <row r="331" spans="1:13" ht="15.2" customHeight="1" x14ac:dyDescent="0.2">
      <c r="A331" s="6" t="s">
        <v>2466</v>
      </c>
      <c r="B331" s="7" t="s">
        <v>2467</v>
      </c>
      <c r="C331" s="8">
        <v>2</v>
      </c>
      <c r="D331" s="9">
        <v>10</v>
      </c>
      <c r="E331" s="9">
        <v>20</v>
      </c>
      <c r="F331" s="10">
        <v>24.99</v>
      </c>
      <c r="G331" s="9">
        <v>49.98</v>
      </c>
      <c r="H331" s="8" t="s">
        <v>4380</v>
      </c>
      <c r="I331" s="7" t="s">
        <v>3288</v>
      </c>
      <c r="J331" s="11" t="s">
        <v>3220</v>
      </c>
      <c r="K331" s="7" t="s">
        <v>3343</v>
      </c>
      <c r="L331" s="7" t="s">
        <v>3324</v>
      </c>
      <c r="M331" s="12"/>
    </row>
    <row r="332" spans="1:13" ht="15.2" customHeight="1" x14ac:dyDescent="0.2">
      <c r="A332" s="6" t="s">
        <v>4378</v>
      </c>
      <c r="B332" s="7" t="s">
        <v>4379</v>
      </c>
      <c r="C332" s="8">
        <v>1</v>
      </c>
      <c r="D332" s="9">
        <v>10</v>
      </c>
      <c r="E332" s="9">
        <v>10</v>
      </c>
      <c r="F332" s="10">
        <v>24.99</v>
      </c>
      <c r="G332" s="9">
        <v>24.99</v>
      </c>
      <c r="H332" s="8" t="s">
        <v>4380</v>
      </c>
      <c r="I332" s="7" t="s">
        <v>3386</v>
      </c>
      <c r="J332" s="11" t="s">
        <v>3220</v>
      </c>
      <c r="K332" s="7" t="s">
        <v>3343</v>
      </c>
      <c r="L332" s="7" t="s">
        <v>3324</v>
      </c>
      <c r="M332" s="12"/>
    </row>
    <row r="333" spans="1:13" ht="15.2" customHeight="1" x14ac:dyDescent="0.2">
      <c r="A333" s="6" t="s">
        <v>1640</v>
      </c>
      <c r="B333" s="7" t="s">
        <v>1641</v>
      </c>
      <c r="C333" s="8">
        <v>2</v>
      </c>
      <c r="D333" s="9">
        <v>10</v>
      </c>
      <c r="E333" s="9">
        <v>20</v>
      </c>
      <c r="F333" s="10">
        <v>24.99</v>
      </c>
      <c r="G333" s="9">
        <v>49.98</v>
      </c>
      <c r="H333" s="8" t="s">
        <v>4380</v>
      </c>
      <c r="I333" s="7" t="s">
        <v>3381</v>
      </c>
      <c r="J333" s="11" t="s">
        <v>3186</v>
      </c>
      <c r="K333" s="7" t="s">
        <v>3343</v>
      </c>
      <c r="L333" s="7" t="s">
        <v>3324</v>
      </c>
      <c r="M333" s="12"/>
    </row>
    <row r="334" spans="1:13" ht="15.2" customHeight="1" x14ac:dyDescent="0.2">
      <c r="A334" s="6" t="s">
        <v>203</v>
      </c>
      <c r="B334" s="7" t="s">
        <v>204</v>
      </c>
      <c r="C334" s="8">
        <v>1</v>
      </c>
      <c r="D334" s="9">
        <v>10</v>
      </c>
      <c r="E334" s="9">
        <v>10</v>
      </c>
      <c r="F334" s="10">
        <v>24.99</v>
      </c>
      <c r="G334" s="9">
        <v>24.99</v>
      </c>
      <c r="H334" s="8" t="s">
        <v>4380</v>
      </c>
      <c r="I334" s="7" t="s">
        <v>3288</v>
      </c>
      <c r="J334" s="11" t="s">
        <v>3242</v>
      </c>
      <c r="K334" s="7" t="s">
        <v>3343</v>
      </c>
      <c r="L334" s="7" t="s">
        <v>3324</v>
      </c>
      <c r="M334" s="12"/>
    </row>
    <row r="335" spans="1:13" ht="15.2" customHeight="1" x14ac:dyDescent="0.2">
      <c r="A335" s="6" t="s">
        <v>205</v>
      </c>
      <c r="B335" s="7" t="s">
        <v>206</v>
      </c>
      <c r="C335" s="8">
        <v>1</v>
      </c>
      <c r="D335" s="9">
        <v>10</v>
      </c>
      <c r="E335" s="9">
        <v>10</v>
      </c>
      <c r="F335" s="10">
        <v>24.99</v>
      </c>
      <c r="G335" s="9">
        <v>24.99</v>
      </c>
      <c r="H335" s="8" t="s">
        <v>4380</v>
      </c>
      <c r="I335" s="7" t="s">
        <v>3288</v>
      </c>
      <c r="J335" s="11" t="s">
        <v>3231</v>
      </c>
      <c r="K335" s="7" t="s">
        <v>3343</v>
      </c>
      <c r="L335" s="7" t="s">
        <v>3324</v>
      </c>
      <c r="M335" s="12"/>
    </row>
    <row r="336" spans="1:13" ht="15.2" customHeight="1" x14ac:dyDescent="0.2">
      <c r="A336" s="6" t="s">
        <v>1517</v>
      </c>
      <c r="B336" s="7" t="s">
        <v>1518</v>
      </c>
      <c r="C336" s="8">
        <v>1</v>
      </c>
      <c r="D336" s="9">
        <v>10</v>
      </c>
      <c r="E336" s="9">
        <v>10</v>
      </c>
      <c r="F336" s="10">
        <v>24.99</v>
      </c>
      <c r="G336" s="9">
        <v>24.99</v>
      </c>
      <c r="H336" s="8" t="s">
        <v>4380</v>
      </c>
      <c r="I336" s="7" t="s">
        <v>3288</v>
      </c>
      <c r="J336" s="11" t="s">
        <v>3186</v>
      </c>
      <c r="K336" s="7" t="s">
        <v>3343</v>
      </c>
      <c r="L336" s="7" t="s">
        <v>3324</v>
      </c>
      <c r="M336" s="12"/>
    </row>
    <row r="337" spans="1:13" ht="15.2" customHeight="1" x14ac:dyDescent="0.2">
      <c r="A337" s="6" t="s">
        <v>1130</v>
      </c>
      <c r="B337" s="7" t="s">
        <v>1131</v>
      </c>
      <c r="C337" s="8">
        <v>1</v>
      </c>
      <c r="D337" s="9">
        <v>9.8000000000000007</v>
      </c>
      <c r="E337" s="9">
        <v>9.8000000000000007</v>
      </c>
      <c r="F337" s="10">
        <v>19.989999999999998</v>
      </c>
      <c r="G337" s="9">
        <v>19.989999999999998</v>
      </c>
      <c r="H337" s="8" t="s">
        <v>1061</v>
      </c>
      <c r="I337" s="7" t="s">
        <v>3364</v>
      </c>
      <c r="J337" s="11" t="s">
        <v>3220</v>
      </c>
      <c r="K337" s="7" t="s">
        <v>3323</v>
      </c>
      <c r="L337" s="7" t="s">
        <v>3344</v>
      </c>
      <c r="M337" s="12"/>
    </row>
    <row r="338" spans="1:13" ht="15.2" customHeight="1" x14ac:dyDescent="0.2">
      <c r="A338" s="6" t="s">
        <v>207</v>
      </c>
      <c r="B338" s="7" t="s">
        <v>208</v>
      </c>
      <c r="C338" s="8">
        <v>1</v>
      </c>
      <c r="D338" s="9">
        <v>9.75</v>
      </c>
      <c r="E338" s="9">
        <v>9.75</v>
      </c>
      <c r="F338" s="10">
        <v>22.99</v>
      </c>
      <c r="G338" s="9">
        <v>22.99</v>
      </c>
      <c r="H338" s="8" t="s">
        <v>2089</v>
      </c>
      <c r="I338" s="7" t="s">
        <v>3257</v>
      </c>
      <c r="J338" s="11" t="s">
        <v>3186</v>
      </c>
      <c r="K338" s="7" t="s">
        <v>3326</v>
      </c>
      <c r="L338" s="7" t="s">
        <v>3356</v>
      </c>
      <c r="M338" s="12"/>
    </row>
    <row r="339" spans="1:13" ht="15.2" customHeight="1" x14ac:dyDescent="0.2">
      <c r="A339" s="6" t="s">
        <v>1644</v>
      </c>
      <c r="B339" s="7" t="s">
        <v>1645</v>
      </c>
      <c r="C339" s="8">
        <v>1</v>
      </c>
      <c r="D339" s="9">
        <v>9.25</v>
      </c>
      <c r="E339" s="9">
        <v>9.25</v>
      </c>
      <c r="F339" s="10">
        <v>22.99</v>
      </c>
      <c r="G339" s="9">
        <v>22.99</v>
      </c>
      <c r="H339" s="8" t="s">
        <v>3572</v>
      </c>
      <c r="I339" s="7" t="s">
        <v>3321</v>
      </c>
      <c r="J339" s="11" t="s">
        <v>3231</v>
      </c>
      <c r="K339" s="7" t="s">
        <v>3323</v>
      </c>
      <c r="L339" s="7" t="s">
        <v>3356</v>
      </c>
      <c r="M339" s="12"/>
    </row>
    <row r="340" spans="1:13" ht="15.2" customHeight="1" x14ac:dyDescent="0.2">
      <c r="A340" s="6" t="s">
        <v>209</v>
      </c>
      <c r="B340" s="7" t="s">
        <v>210</v>
      </c>
      <c r="C340" s="8">
        <v>2</v>
      </c>
      <c r="D340" s="9">
        <v>9.25</v>
      </c>
      <c r="E340" s="9">
        <v>18.5</v>
      </c>
      <c r="F340" s="10">
        <v>22.99</v>
      </c>
      <c r="G340" s="9">
        <v>45.98</v>
      </c>
      <c r="H340" s="8" t="s">
        <v>4383</v>
      </c>
      <c r="I340" s="7" t="s">
        <v>3191</v>
      </c>
      <c r="J340" s="11" t="s">
        <v>3220</v>
      </c>
      <c r="K340" s="7" t="s">
        <v>3323</v>
      </c>
      <c r="L340" s="7" t="s">
        <v>3356</v>
      </c>
      <c r="M340" s="12"/>
    </row>
    <row r="341" spans="1:13" ht="15.2" customHeight="1" x14ac:dyDescent="0.2">
      <c r="A341" s="6" t="s">
        <v>211</v>
      </c>
      <c r="B341" s="7" t="s">
        <v>212</v>
      </c>
      <c r="C341" s="8">
        <v>1</v>
      </c>
      <c r="D341" s="9">
        <v>9.25</v>
      </c>
      <c r="E341" s="9">
        <v>9.25</v>
      </c>
      <c r="F341" s="10">
        <v>22.99</v>
      </c>
      <c r="G341" s="9">
        <v>22.99</v>
      </c>
      <c r="H341" s="8" t="s">
        <v>3572</v>
      </c>
      <c r="I341" s="7" t="s">
        <v>3321</v>
      </c>
      <c r="J341" s="11" t="s">
        <v>3186</v>
      </c>
      <c r="K341" s="7" t="s">
        <v>3323</v>
      </c>
      <c r="L341" s="7" t="s">
        <v>3356</v>
      </c>
      <c r="M341" s="12"/>
    </row>
    <row r="342" spans="1:13" ht="15.2" customHeight="1" x14ac:dyDescent="0.2">
      <c r="A342" s="6" t="s">
        <v>213</v>
      </c>
      <c r="B342" s="7" t="s">
        <v>214</v>
      </c>
      <c r="C342" s="8">
        <v>1</v>
      </c>
      <c r="D342" s="9">
        <v>9.25</v>
      </c>
      <c r="E342" s="9">
        <v>9.25</v>
      </c>
      <c r="F342" s="10">
        <v>22.99</v>
      </c>
      <c r="G342" s="9">
        <v>22.99</v>
      </c>
      <c r="H342" s="8" t="s">
        <v>3569</v>
      </c>
      <c r="I342" s="7" t="s">
        <v>3191</v>
      </c>
      <c r="J342" s="11" t="s">
        <v>3242</v>
      </c>
      <c r="K342" s="7" t="s">
        <v>3323</v>
      </c>
      <c r="L342" s="7" t="s">
        <v>3356</v>
      </c>
      <c r="M342" s="12"/>
    </row>
    <row r="343" spans="1:13" ht="15.2" customHeight="1" x14ac:dyDescent="0.2">
      <c r="A343" s="6" t="s">
        <v>1938</v>
      </c>
      <c r="B343" s="7" t="s">
        <v>1939</v>
      </c>
      <c r="C343" s="8">
        <v>1</v>
      </c>
      <c r="D343" s="9">
        <v>9.25</v>
      </c>
      <c r="E343" s="9">
        <v>9.25</v>
      </c>
      <c r="F343" s="10">
        <v>22.99</v>
      </c>
      <c r="G343" s="9">
        <v>22.99</v>
      </c>
      <c r="H343" s="8" t="s">
        <v>4383</v>
      </c>
      <c r="I343" s="7" t="s">
        <v>3185</v>
      </c>
      <c r="J343" s="11" t="s">
        <v>3220</v>
      </c>
      <c r="K343" s="7" t="s">
        <v>3323</v>
      </c>
      <c r="L343" s="7" t="s">
        <v>3356</v>
      </c>
      <c r="M343" s="12"/>
    </row>
    <row r="344" spans="1:13" ht="15.2" customHeight="1" x14ac:dyDescent="0.2">
      <c r="A344" s="6" t="s">
        <v>2090</v>
      </c>
      <c r="B344" s="7" t="s">
        <v>2091</v>
      </c>
      <c r="C344" s="8">
        <v>3</v>
      </c>
      <c r="D344" s="9">
        <v>9.25</v>
      </c>
      <c r="E344" s="9">
        <v>27.75</v>
      </c>
      <c r="F344" s="10">
        <v>22.99</v>
      </c>
      <c r="G344" s="9">
        <v>68.97</v>
      </c>
      <c r="H344" s="8" t="s">
        <v>4383</v>
      </c>
      <c r="I344" s="7" t="s">
        <v>3185</v>
      </c>
      <c r="J344" s="11" t="s">
        <v>3186</v>
      </c>
      <c r="K344" s="7" t="s">
        <v>3323</v>
      </c>
      <c r="L344" s="7" t="s">
        <v>3356</v>
      </c>
      <c r="M344" s="12"/>
    </row>
    <row r="345" spans="1:13" ht="15.2" customHeight="1" x14ac:dyDescent="0.2">
      <c r="A345" s="6" t="s">
        <v>1834</v>
      </c>
      <c r="B345" s="7" t="s">
        <v>1642</v>
      </c>
      <c r="C345" s="8">
        <v>1</v>
      </c>
      <c r="D345" s="9">
        <v>9.25</v>
      </c>
      <c r="E345" s="9">
        <v>9.25</v>
      </c>
      <c r="F345" s="10">
        <v>19.989999999999998</v>
      </c>
      <c r="G345" s="9">
        <v>19.989999999999998</v>
      </c>
      <c r="H345" s="8" t="s">
        <v>1643</v>
      </c>
      <c r="I345" s="7" t="s">
        <v>3339</v>
      </c>
      <c r="J345" s="11" t="s">
        <v>3231</v>
      </c>
      <c r="K345" s="7" t="s">
        <v>3387</v>
      </c>
      <c r="L345" s="7" t="s">
        <v>3388</v>
      </c>
      <c r="M345" s="12"/>
    </row>
    <row r="346" spans="1:13" ht="15.2" customHeight="1" x14ac:dyDescent="0.2">
      <c r="A346" s="6" t="s">
        <v>215</v>
      </c>
      <c r="B346" s="7" t="s">
        <v>216</v>
      </c>
      <c r="C346" s="8">
        <v>1</v>
      </c>
      <c r="D346" s="9">
        <v>9.25</v>
      </c>
      <c r="E346" s="9">
        <v>9.25</v>
      </c>
      <c r="F346" s="10">
        <v>22.99</v>
      </c>
      <c r="G346" s="9">
        <v>22.99</v>
      </c>
      <c r="H346" s="8" t="s">
        <v>3572</v>
      </c>
      <c r="I346" s="7" t="s">
        <v>3321</v>
      </c>
      <c r="J346" s="11" t="s">
        <v>3242</v>
      </c>
      <c r="K346" s="7" t="s">
        <v>3323</v>
      </c>
      <c r="L346" s="7" t="s">
        <v>3356</v>
      </c>
      <c r="M346" s="12"/>
    </row>
    <row r="347" spans="1:13" ht="15.2" customHeight="1" x14ac:dyDescent="0.2">
      <c r="A347" s="6" t="s">
        <v>2335</v>
      </c>
      <c r="B347" s="7" t="s">
        <v>2336</v>
      </c>
      <c r="C347" s="8">
        <v>2</v>
      </c>
      <c r="D347" s="9">
        <v>9.25</v>
      </c>
      <c r="E347" s="9">
        <v>18.5</v>
      </c>
      <c r="F347" s="10">
        <v>22.99</v>
      </c>
      <c r="G347" s="9">
        <v>45.98</v>
      </c>
      <c r="H347" s="8" t="s">
        <v>3572</v>
      </c>
      <c r="I347" s="7" t="s">
        <v>3321</v>
      </c>
      <c r="J347" s="11" t="s">
        <v>3220</v>
      </c>
      <c r="K347" s="7" t="s">
        <v>3323</v>
      </c>
      <c r="L347" s="7" t="s">
        <v>3356</v>
      </c>
      <c r="M347" s="12"/>
    </row>
    <row r="348" spans="1:13" ht="15.2" customHeight="1" x14ac:dyDescent="0.2">
      <c r="A348" s="6" t="s">
        <v>1132</v>
      </c>
      <c r="B348" s="7" t="s">
        <v>1133</v>
      </c>
      <c r="C348" s="8">
        <v>1</v>
      </c>
      <c r="D348" s="9">
        <v>9.25</v>
      </c>
      <c r="E348" s="9">
        <v>9.25</v>
      </c>
      <c r="F348" s="10">
        <v>22.99</v>
      </c>
      <c r="G348" s="9">
        <v>22.99</v>
      </c>
      <c r="H348" s="8" t="s">
        <v>4383</v>
      </c>
      <c r="I348" s="7" t="s">
        <v>3185</v>
      </c>
      <c r="J348" s="11" t="s">
        <v>3202</v>
      </c>
      <c r="K348" s="7" t="s">
        <v>3323</v>
      </c>
      <c r="L348" s="7" t="s">
        <v>3356</v>
      </c>
      <c r="M348" s="12"/>
    </row>
    <row r="349" spans="1:13" ht="15.2" customHeight="1" x14ac:dyDescent="0.2">
      <c r="A349" s="6" t="s">
        <v>4186</v>
      </c>
      <c r="B349" s="7" t="s">
        <v>4187</v>
      </c>
      <c r="C349" s="8">
        <v>1</v>
      </c>
      <c r="D349" s="9">
        <v>9.25</v>
      </c>
      <c r="E349" s="9">
        <v>9.25</v>
      </c>
      <c r="F349" s="10">
        <v>22.99</v>
      </c>
      <c r="G349" s="9">
        <v>22.99</v>
      </c>
      <c r="H349" s="8" t="s">
        <v>3569</v>
      </c>
      <c r="I349" s="7" t="s">
        <v>3333</v>
      </c>
      <c r="J349" s="11" t="s">
        <v>3220</v>
      </c>
      <c r="K349" s="7" t="s">
        <v>3323</v>
      </c>
      <c r="L349" s="7" t="s">
        <v>3356</v>
      </c>
      <c r="M349" s="12"/>
    </row>
    <row r="350" spans="1:13" ht="15.2" customHeight="1" x14ac:dyDescent="0.2">
      <c r="A350" s="6" t="s">
        <v>217</v>
      </c>
      <c r="B350" s="7" t="s">
        <v>218</v>
      </c>
      <c r="C350" s="8">
        <v>1</v>
      </c>
      <c r="D350" s="9">
        <v>9.25</v>
      </c>
      <c r="E350" s="9">
        <v>9.25</v>
      </c>
      <c r="F350" s="10">
        <v>22.99</v>
      </c>
      <c r="G350" s="9">
        <v>22.99</v>
      </c>
      <c r="H350" s="8" t="s">
        <v>4383</v>
      </c>
      <c r="I350" s="7" t="s">
        <v>3185</v>
      </c>
      <c r="J350" s="11" t="s">
        <v>3242</v>
      </c>
      <c r="K350" s="7" t="s">
        <v>3323</v>
      </c>
      <c r="L350" s="7" t="s">
        <v>3356</v>
      </c>
      <c r="M350" s="12"/>
    </row>
    <row r="351" spans="1:13" ht="15.2" customHeight="1" x14ac:dyDescent="0.2">
      <c r="A351" s="6" t="s">
        <v>3570</v>
      </c>
      <c r="B351" s="7" t="s">
        <v>3571</v>
      </c>
      <c r="C351" s="8">
        <v>1</v>
      </c>
      <c r="D351" s="9">
        <v>9.25</v>
      </c>
      <c r="E351" s="9">
        <v>9.25</v>
      </c>
      <c r="F351" s="10">
        <v>22.99</v>
      </c>
      <c r="G351" s="9">
        <v>22.99</v>
      </c>
      <c r="H351" s="8" t="s">
        <v>3569</v>
      </c>
      <c r="I351" s="7" t="s">
        <v>3191</v>
      </c>
      <c r="J351" s="11" t="s">
        <v>3186</v>
      </c>
      <c r="K351" s="7" t="s">
        <v>3323</v>
      </c>
      <c r="L351" s="7" t="s">
        <v>3356</v>
      </c>
      <c r="M351" s="12"/>
    </row>
    <row r="352" spans="1:13" ht="15.2" customHeight="1" x14ac:dyDescent="0.2">
      <c r="A352" s="6" t="s">
        <v>219</v>
      </c>
      <c r="B352" s="7" t="s">
        <v>220</v>
      </c>
      <c r="C352" s="8">
        <v>1</v>
      </c>
      <c r="D352" s="9">
        <v>9.25</v>
      </c>
      <c r="E352" s="9">
        <v>9.25</v>
      </c>
      <c r="F352" s="10">
        <v>22.99</v>
      </c>
      <c r="G352" s="9">
        <v>22.99</v>
      </c>
      <c r="H352" s="8" t="s">
        <v>3569</v>
      </c>
      <c r="I352" s="7" t="s">
        <v>3191</v>
      </c>
      <c r="J352" s="11" t="s">
        <v>3220</v>
      </c>
      <c r="K352" s="7" t="s">
        <v>3323</v>
      </c>
      <c r="L352" s="7" t="s">
        <v>3356</v>
      </c>
      <c r="M352" s="12"/>
    </row>
    <row r="353" spans="1:13" ht="15.2" customHeight="1" x14ac:dyDescent="0.2">
      <c r="A353" s="6" t="s">
        <v>2337</v>
      </c>
      <c r="B353" s="7" t="s">
        <v>2338</v>
      </c>
      <c r="C353" s="8">
        <v>1</v>
      </c>
      <c r="D353" s="9">
        <v>9.25</v>
      </c>
      <c r="E353" s="9">
        <v>9.25</v>
      </c>
      <c r="F353" s="10">
        <v>22.99</v>
      </c>
      <c r="G353" s="9">
        <v>22.99</v>
      </c>
      <c r="H353" s="8" t="s">
        <v>3572</v>
      </c>
      <c r="I353" s="7" t="s">
        <v>3191</v>
      </c>
      <c r="J353" s="11" t="s">
        <v>3220</v>
      </c>
      <c r="K353" s="7" t="s">
        <v>3323</v>
      </c>
      <c r="L353" s="7" t="s">
        <v>3356</v>
      </c>
      <c r="M353" s="12"/>
    </row>
    <row r="354" spans="1:13" ht="15.2" customHeight="1" x14ac:dyDescent="0.2">
      <c r="A354" s="6" t="s">
        <v>738</v>
      </c>
      <c r="B354" s="7" t="s">
        <v>4191</v>
      </c>
      <c r="C354" s="8">
        <v>1</v>
      </c>
      <c r="D354" s="9">
        <v>9.24</v>
      </c>
      <c r="E354" s="9">
        <v>9.24</v>
      </c>
      <c r="F354" s="10">
        <v>21.99</v>
      </c>
      <c r="G354" s="9">
        <v>21.99</v>
      </c>
      <c r="H354" s="8" t="s">
        <v>4192</v>
      </c>
      <c r="I354" s="7" t="s">
        <v>3235</v>
      </c>
      <c r="J354" s="11" t="s">
        <v>3231</v>
      </c>
      <c r="K354" s="7" t="s">
        <v>3300</v>
      </c>
      <c r="L354" s="7" t="s">
        <v>3301</v>
      </c>
      <c r="M354" s="12"/>
    </row>
    <row r="355" spans="1:13" ht="15.2" customHeight="1" x14ac:dyDescent="0.2">
      <c r="A355" s="6" t="s">
        <v>2339</v>
      </c>
      <c r="B355" s="7" t="s">
        <v>4191</v>
      </c>
      <c r="C355" s="8">
        <v>1</v>
      </c>
      <c r="D355" s="9">
        <v>9.24</v>
      </c>
      <c r="E355" s="9">
        <v>9.24</v>
      </c>
      <c r="F355" s="10">
        <v>21.99</v>
      </c>
      <c r="G355" s="9">
        <v>21.99</v>
      </c>
      <c r="H355" s="8" t="s">
        <v>4192</v>
      </c>
      <c r="I355" s="7" t="s">
        <v>3235</v>
      </c>
      <c r="J355" s="11" t="s">
        <v>3236</v>
      </c>
      <c r="K355" s="7" t="s">
        <v>3300</v>
      </c>
      <c r="L355" s="7" t="s">
        <v>3301</v>
      </c>
      <c r="M355" s="12"/>
    </row>
    <row r="356" spans="1:13" ht="15.2" customHeight="1" x14ac:dyDescent="0.2">
      <c r="A356" s="6" t="s">
        <v>221</v>
      </c>
      <c r="B356" s="7" t="s">
        <v>4189</v>
      </c>
      <c r="C356" s="8">
        <v>1</v>
      </c>
      <c r="D356" s="9">
        <v>9.24</v>
      </c>
      <c r="E356" s="9">
        <v>9.24</v>
      </c>
      <c r="F356" s="10">
        <v>21.99</v>
      </c>
      <c r="G356" s="9">
        <v>21.99</v>
      </c>
      <c r="H356" s="8" t="s">
        <v>4190</v>
      </c>
      <c r="I356" s="7" t="s">
        <v>3185</v>
      </c>
      <c r="J356" s="11" t="s">
        <v>3220</v>
      </c>
      <c r="K356" s="7" t="s">
        <v>3300</v>
      </c>
      <c r="L356" s="7" t="s">
        <v>3301</v>
      </c>
      <c r="M356" s="12"/>
    </row>
    <row r="357" spans="1:13" ht="15.2" customHeight="1" x14ac:dyDescent="0.2">
      <c r="A357" s="6" t="s">
        <v>4188</v>
      </c>
      <c r="B357" s="7" t="s">
        <v>4189</v>
      </c>
      <c r="C357" s="8">
        <v>1</v>
      </c>
      <c r="D357" s="9">
        <v>9.24</v>
      </c>
      <c r="E357" s="9">
        <v>9.24</v>
      </c>
      <c r="F357" s="10">
        <v>21.99</v>
      </c>
      <c r="G357" s="9">
        <v>21.99</v>
      </c>
      <c r="H357" s="8" t="s">
        <v>4190</v>
      </c>
      <c r="I357" s="7" t="s">
        <v>3185</v>
      </c>
      <c r="J357" s="11" t="s">
        <v>3186</v>
      </c>
      <c r="K357" s="7" t="s">
        <v>3300</v>
      </c>
      <c r="L357" s="7" t="s">
        <v>3301</v>
      </c>
      <c r="M357" s="12"/>
    </row>
    <row r="358" spans="1:13" ht="15.2" customHeight="1" x14ac:dyDescent="0.2">
      <c r="A358" s="6" t="s">
        <v>4193</v>
      </c>
      <c r="B358" s="7" t="s">
        <v>4191</v>
      </c>
      <c r="C358" s="8">
        <v>1</v>
      </c>
      <c r="D358" s="9">
        <v>9.24</v>
      </c>
      <c r="E358" s="9">
        <v>9.24</v>
      </c>
      <c r="F358" s="10">
        <v>21.99</v>
      </c>
      <c r="G358" s="9">
        <v>21.99</v>
      </c>
      <c r="H358" s="8" t="s">
        <v>4192</v>
      </c>
      <c r="I358" s="7" t="s">
        <v>3235</v>
      </c>
      <c r="J358" s="11" t="s">
        <v>3220</v>
      </c>
      <c r="K358" s="7" t="s">
        <v>3300</v>
      </c>
      <c r="L358" s="7" t="s">
        <v>3301</v>
      </c>
      <c r="M358" s="12"/>
    </row>
    <row r="359" spans="1:13" ht="15.2" customHeight="1" x14ac:dyDescent="0.2">
      <c r="A359" s="6" t="s">
        <v>2342</v>
      </c>
      <c r="B359" s="7" t="s">
        <v>2343</v>
      </c>
      <c r="C359" s="8">
        <v>1</v>
      </c>
      <c r="D359" s="9">
        <v>9.2200000000000006</v>
      </c>
      <c r="E359" s="9">
        <v>9.2200000000000006</v>
      </c>
      <c r="F359" s="10">
        <v>21.99</v>
      </c>
      <c r="G359" s="9">
        <v>21.99</v>
      </c>
      <c r="H359" s="8" t="s">
        <v>2340</v>
      </c>
      <c r="I359" s="7" t="s">
        <v>3185</v>
      </c>
      <c r="J359" s="11" t="s">
        <v>3236</v>
      </c>
      <c r="K359" s="7" t="s">
        <v>3300</v>
      </c>
      <c r="L359" s="7" t="s">
        <v>3301</v>
      </c>
      <c r="M359" s="12"/>
    </row>
    <row r="360" spans="1:13" ht="15.2" customHeight="1" x14ac:dyDescent="0.2">
      <c r="A360" s="6" t="s">
        <v>222</v>
      </c>
      <c r="B360" s="7" t="s">
        <v>3814</v>
      </c>
      <c r="C360" s="8">
        <v>1</v>
      </c>
      <c r="D360" s="9">
        <v>9.1999999999999993</v>
      </c>
      <c r="E360" s="9">
        <v>9.1999999999999993</v>
      </c>
      <c r="F360" s="10">
        <v>21.99</v>
      </c>
      <c r="G360" s="9">
        <v>21.99</v>
      </c>
      <c r="H360" s="8" t="s">
        <v>3815</v>
      </c>
      <c r="I360" s="7" t="s">
        <v>3185</v>
      </c>
      <c r="J360" s="11" t="s">
        <v>3242</v>
      </c>
      <c r="K360" s="7" t="s">
        <v>3300</v>
      </c>
      <c r="L360" s="7" t="s">
        <v>3301</v>
      </c>
      <c r="M360" s="12"/>
    </row>
    <row r="361" spans="1:13" ht="15.2" customHeight="1" x14ac:dyDescent="0.2">
      <c r="A361" s="6" t="s">
        <v>1535</v>
      </c>
      <c r="B361" s="7" t="s">
        <v>4046</v>
      </c>
      <c r="C361" s="8">
        <v>1</v>
      </c>
      <c r="D361" s="9">
        <v>9.1999999999999993</v>
      </c>
      <c r="E361" s="9">
        <v>9.1999999999999993</v>
      </c>
      <c r="F361" s="10">
        <v>21.99</v>
      </c>
      <c r="G361" s="9">
        <v>21.99</v>
      </c>
      <c r="H361" s="8" t="s">
        <v>4047</v>
      </c>
      <c r="I361" s="7" t="s">
        <v>3185</v>
      </c>
      <c r="J361" s="11" t="s">
        <v>3202</v>
      </c>
      <c r="K361" s="7" t="s">
        <v>3300</v>
      </c>
      <c r="L361" s="7" t="s">
        <v>3301</v>
      </c>
      <c r="M361" s="12"/>
    </row>
    <row r="362" spans="1:13" ht="15.2" customHeight="1" x14ac:dyDescent="0.2">
      <c r="A362" s="6" t="s">
        <v>3816</v>
      </c>
      <c r="B362" s="7" t="s">
        <v>3814</v>
      </c>
      <c r="C362" s="8">
        <v>1</v>
      </c>
      <c r="D362" s="9">
        <v>9.1999999999999993</v>
      </c>
      <c r="E362" s="9">
        <v>9.1999999999999993</v>
      </c>
      <c r="F362" s="10">
        <v>21.99</v>
      </c>
      <c r="G362" s="9">
        <v>21.99</v>
      </c>
      <c r="H362" s="8" t="s">
        <v>3815</v>
      </c>
      <c r="I362" s="7" t="s">
        <v>3185</v>
      </c>
      <c r="J362" s="11" t="s">
        <v>3186</v>
      </c>
      <c r="K362" s="7" t="s">
        <v>3300</v>
      </c>
      <c r="L362" s="7" t="s">
        <v>3301</v>
      </c>
      <c r="M362" s="12"/>
    </row>
    <row r="363" spans="1:13" ht="15.2" customHeight="1" x14ac:dyDescent="0.2">
      <c r="A363" s="6" t="s">
        <v>223</v>
      </c>
      <c r="B363" s="7" t="s">
        <v>4198</v>
      </c>
      <c r="C363" s="8">
        <v>1</v>
      </c>
      <c r="D363" s="9">
        <v>9.19</v>
      </c>
      <c r="E363" s="9">
        <v>9.19</v>
      </c>
      <c r="F363" s="10">
        <v>21.99</v>
      </c>
      <c r="G363" s="9">
        <v>21.99</v>
      </c>
      <c r="H363" s="8" t="s">
        <v>4199</v>
      </c>
      <c r="I363" s="7" t="s">
        <v>3216</v>
      </c>
      <c r="J363" s="11" t="s">
        <v>3242</v>
      </c>
      <c r="K363" s="7" t="s">
        <v>3300</v>
      </c>
      <c r="L363" s="7" t="s">
        <v>3301</v>
      </c>
      <c r="M363" s="12"/>
    </row>
    <row r="364" spans="1:13" ht="15.2" customHeight="1" x14ac:dyDescent="0.2">
      <c r="A364" s="6" t="s">
        <v>4393</v>
      </c>
      <c r="B364" s="7" t="s">
        <v>4394</v>
      </c>
      <c r="C364" s="8">
        <v>1</v>
      </c>
      <c r="D364" s="9">
        <v>9</v>
      </c>
      <c r="E364" s="9">
        <v>9</v>
      </c>
      <c r="F364" s="10">
        <v>19.989999999999998</v>
      </c>
      <c r="G364" s="9">
        <v>19.989999999999998</v>
      </c>
      <c r="H364" s="8" t="s">
        <v>4200</v>
      </c>
      <c r="I364" s="7" t="s">
        <v>3400</v>
      </c>
      <c r="J364" s="11" t="s">
        <v>3186</v>
      </c>
      <c r="K364" s="7" t="s">
        <v>3323</v>
      </c>
      <c r="L364" s="7" t="s">
        <v>3356</v>
      </c>
      <c r="M364" s="12"/>
    </row>
    <row r="365" spans="1:13" ht="15.2" customHeight="1" x14ac:dyDescent="0.2">
      <c r="A365" s="6" t="s">
        <v>224</v>
      </c>
      <c r="B365" s="7" t="s">
        <v>225</v>
      </c>
      <c r="C365" s="8">
        <v>1</v>
      </c>
      <c r="D365" s="9">
        <v>8.9</v>
      </c>
      <c r="E365" s="9">
        <v>8.9</v>
      </c>
      <c r="F365" s="10">
        <v>19.989999999999998</v>
      </c>
      <c r="G365" s="9">
        <v>19.989999999999998</v>
      </c>
      <c r="H365" s="8" t="s">
        <v>3947</v>
      </c>
      <c r="I365" s="7" t="s">
        <v>3364</v>
      </c>
      <c r="J365" s="11" t="s">
        <v>3186</v>
      </c>
      <c r="K365" s="7" t="s">
        <v>3343</v>
      </c>
      <c r="L365" s="7" t="s">
        <v>3384</v>
      </c>
      <c r="M365" s="12"/>
    </row>
    <row r="366" spans="1:13" ht="15.2" customHeight="1" x14ac:dyDescent="0.2">
      <c r="A366" s="6" t="s">
        <v>3575</v>
      </c>
      <c r="B366" s="7" t="s">
        <v>3576</v>
      </c>
      <c r="C366" s="8">
        <v>1</v>
      </c>
      <c r="D366" s="9">
        <v>8.5</v>
      </c>
      <c r="E366" s="9">
        <v>8.5</v>
      </c>
      <c r="F366" s="10">
        <v>19.989999999999998</v>
      </c>
      <c r="G366" s="9">
        <v>19.989999999999998</v>
      </c>
      <c r="H366" s="8" t="s">
        <v>3574</v>
      </c>
      <c r="I366" s="7" t="s">
        <v>3214</v>
      </c>
      <c r="J366" s="11" t="s">
        <v>3186</v>
      </c>
      <c r="K366" s="7" t="s">
        <v>3387</v>
      </c>
      <c r="L366" s="7" t="s">
        <v>3404</v>
      </c>
      <c r="M366" s="12"/>
    </row>
    <row r="367" spans="1:13" ht="15.2" customHeight="1" x14ac:dyDescent="0.2">
      <c r="A367" s="6" t="s">
        <v>4396</v>
      </c>
      <c r="B367" s="7" t="s">
        <v>4397</v>
      </c>
      <c r="C367" s="8">
        <v>1</v>
      </c>
      <c r="D367" s="9">
        <v>8.5</v>
      </c>
      <c r="E367" s="9">
        <v>8.5</v>
      </c>
      <c r="F367" s="10">
        <v>19.989999999999998</v>
      </c>
      <c r="G367" s="9">
        <v>19.989999999999998</v>
      </c>
      <c r="H367" s="8" t="s">
        <v>3579</v>
      </c>
      <c r="I367" s="7" t="s">
        <v>3214</v>
      </c>
      <c r="J367" s="11" t="s">
        <v>3202</v>
      </c>
      <c r="K367" s="7" t="s">
        <v>3387</v>
      </c>
      <c r="L367" s="7" t="s">
        <v>3404</v>
      </c>
      <c r="M367" s="12"/>
    </row>
    <row r="368" spans="1:13" ht="15.2" customHeight="1" x14ac:dyDescent="0.2">
      <c r="A368" s="6" t="s">
        <v>3577</v>
      </c>
      <c r="B368" s="7" t="s">
        <v>3578</v>
      </c>
      <c r="C368" s="8">
        <v>1</v>
      </c>
      <c r="D368" s="9">
        <v>8.5</v>
      </c>
      <c r="E368" s="9">
        <v>8.5</v>
      </c>
      <c r="F368" s="10">
        <v>19.989999999999998</v>
      </c>
      <c r="G368" s="9">
        <v>19.989999999999998</v>
      </c>
      <c r="H368" s="8" t="s">
        <v>3579</v>
      </c>
      <c r="I368" s="7" t="s">
        <v>3214</v>
      </c>
      <c r="J368" s="11" t="s">
        <v>3231</v>
      </c>
      <c r="K368" s="7" t="s">
        <v>3387</v>
      </c>
      <c r="L368" s="7" t="s">
        <v>3404</v>
      </c>
      <c r="M368" s="12"/>
    </row>
    <row r="369" spans="1:13" ht="15.2" customHeight="1" x14ac:dyDescent="0.2">
      <c r="A369" s="6" t="s">
        <v>1538</v>
      </c>
      <c r="B369" s="7" t="s">
        <v>1539</v>
      </c>
      <c r="C369" s="8">
        <v>2</v>
      </c>
      <c r="D369" s="9">
        <v>8.5</v>
      </c>
      <c r="E369" s="9">
        <v>17</v>
      </c>
      <c r="F369" s="10">
        <v>19.989999999999998</v>
      </c>
      <c r="G369" s="9">
        <v>39.979999999999997</v>
      </c>
      <c r="H369" s="8" t="s">
        <v>3574</v>
      </c>
      <c r="I369" s="7" t="s">
        <v>3214</v>
      </c>
      <c r="J369" s="11" t="s">
        <v>3202</v>
      </c>
      <c r="K369" s="7" t="s">
        <v>3387</v>
      </c>
      <c r="L369" s="7" t="s">
        <v>3404</v>
      </c>
      <c r="M369" s="12"/>
    </row>
    <row r="370" spans="1:13" ht="15.2" customHeight="1" x14ac:dyDescent="0.2">
      <c r="A370" s="6" t="s">
        <v>1762</v>
      </c>
      <c r="B370" s="7" t="s">
        <v>1763</v>
      </c>
      <c r="C370" s="8">
        <v>1</v>
      </c>
      <c r="D370" s="9">
        <v>8.5</v>
      </c>
      <c r="E370" s="9">
        <v>8.5</v>
      </c>
      <c r="F370" s="10">
        <v>19.989999999999998</v>
      </c>
      <c r="G370" s="9">
        <v>19.989999999999998</v>
      </c>
      <c r="H370" s="8" t="s">
        <v>3574</v>
      </c>
      <c r="I370" s="7" t="s">
        <v>3214</v>
      </c>
      <c r="J370" s="11" t="s">
        <v>3220</v>
      </c>
      <c r="K370" s="7" t="s">
        <v>3387</v>
      </c>
      <c r="L370" s="7" t="s">
        <v>3404</v>
      </c>
      <c r="M370" s="12"/>
    </row>
    <row r="371" spans="1:13" ht="15.2" customHeight="1" x14ac:dyDescent="0.2">
      <c r="A371" s="6" t="s">
        <v>4203</v>
      </c>
      <c r="B371" s="7" t="s">
        <v>4204</v>
      </c>
      <c r="C371" s="8">
        <v>1</v>
      </c>
      <c r="D371" s="9">
        <v>8.5</v>
      </c>
      <c r="E371" s="9">
        <v>8.5</v>
      </c>
      <c r="F371" s="10">
        <v>19.989999999999998</v>
      </c>
      <c r="G371" s="9">
        <v>19.989999999999998</v>
      </c>
      <c r="H371" s="8" t="s">
        <v>3579</v>
      </c>
      <c r="I371" s="7" t="s">
        <v>3214</v>
      </c>
      <c r="J371" s="11" t="s">
        <v>3220</v>
      </c>
      <c r="K371" s="7" t="s">
        <v>3387</v>
      </c>
      <c r="L371" s="7" t="s">
        <v>3404</v>
      </c>
      <c r="M371" s="12"/>
    </row>
    <row r="372" spans="1:13" ht="15.2" customHeight="1" x14ac:dyDescent="0.2">
      <c r="A372" s="6" t="s">
        <v>226</v>
      </c>
      <c r="B372" s="7" t="s">
        <v>227</v>
      </c>
      <c r="C372" s="8">
        <v>1</v>
      </c>
      <c r="D372" s="9">
        <v>8.5</v>
      </c>
      <c r="E372" s="9">
        <v>8.5</v>
      </c>
      <c r="F372" s="10">
        <v>19.989999999999998</v>
      </c>
      <c r="G372" s="9">
        <v>19.989999999999998</v>
      </c>
      <c r="H372" s="8" t="s">
        <v>1758</v>
      </c>
      <c r="I372" s="7" t="s">
        <v>3386</v>
      </c>
      <c r="J372" s="11" t="s">
        <v>3220</v>
      </c>
      <c r="K372" s="7" t="s">
        <v>3387</v>
      </c>
      <c r="L372" s="7" t="s">
        <v>3429</v>
      </c>
      <c r="M372" s="12"/>
    </row>
    <row r="373" spans="1:13" ht="15.2" customHeight="1" x14ac:dyDescent="0.2">
      <c r="A373" s="6" t="s">
        <v>4201</v>
      </c>
      <c r="B373" s="7" t="s">
        <v>4202</v>
      </c>
      <c r="C373" s="8">
        <v>2</v>
      </c>
      <c r="D373" s="9">
        <v>8.5</v>
      </c>
      <c r="E373" s="9">
        <v>17</v>
      </c>
      <c r="F373" s="10">
        <v>19.989999999999998</v>
      </c>
      <c r="G373" s="9">
        <v>39.979999999999997</v>
      </c>
      <c r="H373" s="8" t="s">
        <v>3579</v>
      </c>
      <c r="I373" s="7" t="s">
        <v>3214</v>
      </c>
      <c r="J373" s="11" t="s">
        <v>3186</v>
      </c>
      <c r="K373" s="7" t="s">
        <v>3387</v>
      </c>
      <c r="L373" s="7" t="s">
        <v>3404</v>
      </c>
      <c r="M373" s="12"/>
    </row>
    <row r="374" spans="1:13" ht="15.2" customHeight="1" x14ac:dyDescent="0.2">
      <c r="A374" s="6" t="s">
        <v>1676</v>
      </c>
      <c r="B374" s="7" t="s">
        <v>1677</v>
      </c>
      <c r="C374" s="8">
        <v>1</v>
      </c>
      <c r="D374" s="9">
        <v>8</v>
      </c>
      <c r="E374" s="9">
        <v>8</v>
      </c>
      <c r="F374" s="10">
        <v>19.989999999999998</v>
      </c>
      <c r="G374" s="9">
        <v>19.989999999999998</v>
      </c>
      <c r="H374" s="8" t="s">
        <v>1658</v>
      </c>
      <c r="I374" s="7" t="s">
        <v>3203</v>
      </c>
      <c r="J374" s="11" t="s">
        <v>3186</v>
      </c>
      <c r="K374" s="7" t="s">
        <v>3323</v>
      </c>
      <c r="L374" s="7" t="s">
        <v>3356</v>
      </c>
      <c r="M374" s="12"/>
    </row>
    <row r="375" spans="1:13" ht="15.2" customHeight="1" x14ac:dyDescent="0.2">
      <c r="A375" s="6" t="s">
        <v>228</v>
      </c>
      <c r="B375" s="7" t="s">
        <v>229</v>
      </c>
      <c r="C375" s="8">
        <v>1</v>
      </c>
      <c r="D375" s="9">
        <v>8</v>
      </c>
      <c r="E375" s="9">
        <v>8</v>
      </c>
      <c r="F375" s="10">
        <v>19.989999999999998</v>
      </c>
      <c r="G375" s="9">
        <v>19.989999999999998</v>
      </c>
      <c r="H375" s="8" t="s">
        <v>1842</v>
      </c>
      <c r="I375" s="7" t="s">
        <v>3185</v>
      </c>
      <c r="J375" s="11" t="s">
        <v>3231</v>
      </c>
      <c r="K375" s="7" t="s">
        <v>3387</v>
      </c>
      <c r="L375" s="7" t="s">
        <v>3429</v>
      </c>
      <c r="M375" s="12"/>
    </row>
    <row r="376" spans="1:13" ht="15.2" customHeight="1" x14ac:dyDescent="0.2">
      <c r="A376" s="6" t="s">
        <v>3583</v>
      </c>
      <c r="B376" s="7" t="s">
        <v>3584</v>
      </c>
      <c r="C376" s="8">
        <v>1</v>
      </c>
      <c r="D376" s="9">
        <v>7.95</v>
      </c>
      <c r="E376" s="9">
        <v>7.95</v>
      </c>
      <c r="F376" s="10">
        <v>19.989999999999998</v>
      </c>
      <c r="G376" s="9">
        <v>19.989999999999998</v>
      </c>
      <c r="H376" s="8" t="s">
        <v>3582</v>
      </c>
      <c r="I376" s="7" t="s">
        <v>3382</v>
      </c>
      <c r="J376" s="11" t="s">
        <v>3231</v>
      </c>
      <c r="K376" s="7" t="s">
        <v>3323</v>
      </c>
      <c r="L376" s="7" t="s">
        <v>3369</v>
      </c>
      <c r="M376" s="12"/>
    </row>
    <row r="377" spans="1:13" ht="15.2" customHeight="1" x14ac:dyDescent="0.2">
      <c r="A377" s="6" t="s">
        <v>1097</v>
      </c>
      <c r="B377" s="7" t="s">
        <v>1098</v>
      </c>
      <c r="C377" s="8">
        <v>1</v>
      </c>
      <c r="D377" s="9">
        <v>7.95</v>
      </c>
      <c r="E377" s="9">
        <v>7.95</v>
      </c>
      <c r="F377" s="10">
        <v>19.989999999999998</v>
      </c>
      <c r="G377" s="9">
        <v>19.989999999999998</v>
      </c>
      <c r="H377" s="8" t="s">
        <v>3582</v>
      </c>
      <c r="I377" s="7" t="s">
        <v>3321</v>
      </c>
      <c r="J377" s="11" t="s">
        <v>3202</v>
      </c>
      <c r="K377" s="7" t="s">
        <v>3323</v>
      </c>
      <c r="L377" s="7" t="s">
        <v>3369</v>
      </c>
      <c r="M377" s="12"/>
    </row>
    <row r="378" spans="1:13" ht="15.2" customHeight="1" x14ac:dyDescent="0.2">
      <c r="A378" s="6" t="s">
        <v>3588</v>
      </c>
      <c r="B378" s="7" t="s">
        <v>3589</v>
      </c>
      <c r="C378" s="8">
        <v>2</v>
      </c>
      <c r="D378" s="9">
        <v>7.9</v>
      </c>
      <c r="E378" s="9">
        <v>15.8</v>
      </c>
      <c r="F378" s="10">
        <v>19.989999999999998</v>
      </c>
      <c r="G378" s="9">
        <v>39.979999999999997</v>
      </c>
      <c r="H378" s="8" t="s">
        <v>3587</v>
      </c>
      <c r="I378" s="7" t="s">
        <v>3203</v>
      </c>
      <c r="J378" s="11" t="s">
        <v>3220</v>
      </c>
      <c r="K378" s="7" t="s">
        <v>3387</v>
      </c>
      <c r="L378" s="7" t="s">
        <v>3425</v>
      </c>
      <c r="M378" s="12"/>
    </row>
    <row r="379" spans="1:13" ht="15.2" customHeight="1" x14ac:dyDescent="0.2">
      <c r="A379" s="6" t="s">
        <v>3594</v>
      </c>
      <c r="B379" s="7" t="s">
        <v>3595</v>
      </c>
      <c r="C379" s="8">
        <v>1</v>
      </c>
      <c r="D379" s="9">
        <v>7.9</v>
      </c>
      <c r="E379" s="9">
        <v>7.9</v>
      </c>
      <c r="F379" s="10">
        <v>19.989999999999998</v>
      </c>
      <c r="G379" s="9">
        <v>19.989999999999998</v>
      </c>
      <c r="H379" s="8" t="s">
        <v>3596</v>
      </c>
      <c r="I379" s="7" t="s">
        <v>3216</v>
      </c>
      <c r="J379" s="11" t="s">
        <v>3186</v>
      </c>
      <c r="K379" s="7" t="s">
        <v>3387</v>
      </c>
      <c r="L379" s="7" t="s">
        <v>3425</v>
      </c>
      <c r="M379" s="12"/>
    </row>
    <row r="380" spans="1:13" ht="15.2" customHeight="1" x14ac:dyDescent="0.2">
      <c r="A380" s="6" t="s">
        <v>3592</v>
      </c>
      <c r="B380" s="7" t="s">
        <v>3593</v>
      </c>
      <c r="C380" s="8">
        <v>4</v>
      </c>
      <c r="D380" s="9">
        <v>7.9</v>
      </c>
      <c r="E380" s="9">
        <v>31.6</v>
      </c>
      <c r="F380" s="10">
        <v>19.989999999999998</v>
      </c>
      <c r="G380" s="9">
        <v>79.959999999999994</v>
      </c>
      <c r="H380" s="8" t="s">
        <v>3587</v>
      </c>
      <c r="I380" s="7" t="s">
        <v>3203</v>
      </c>
      <c r="J380" s="11" t="s">
        <v>3186</v>
      </c>
      <c r="K380" s="7" t="s">
        <v>3387</v>
      </c>
      <c r="L380" s="7" t="s">
        <v>3425</v>
      </c>
      <c r="M380" s="12"/>
    </row>
    <row r="381" spans="1:13" ht="15.2" customHeight="1" x14ac:dyDescent="0.2">
      <c r="A381" s="6" t="s">
        <v>3585</v>
      </c>
      <c r="B381" s="7" t="s">
        <v>3586</v>
      </c>
      <c r="C381" s="8">
        <v>2</v>
      </c>
      <c r="D381" s="9">
        <v>7.9</v>
      </c>
      <c r="E381" s="9">
        <v>15.8</v>
      </c>
      <c r="F381" s="10">
        <v>19.989999999999998</v>
      </c>
      <c r="G381" s="9">
        <v>39.979999999999997</v>
      </c>
      <c r="H381" s="8" t="s">
        <v>3587</v>
      </c>
      <c r="I381" s="7" t="s">
        <v>3203</v>
      </c>
      <c r="J381" s="11" t="s">
        <v>3202</v>
      </c>
      <c r="K381" s="7" t="s">
        <v>3387</v>
      </c>
      <c r="L381" s="7" t="s">
        <v>3425</v>
      </c>
      <c r="M381" s="12"/>
    </row>
    <row r="382" spans="1:13" ht="15.2" customHeight="1" x14ac:dyDescent="0.2">
      <c r="A382" s="6" t="s">
        <v>1865</v>
      </c>
      <c r="B382" s="7" t="s">
        <v>1866</v>
      </c>
      <c r="C382" s="8">
        <v>1</v>
      </c>
      <c r="D382" s="9">
        <v>7</v>
      </c>
      <c r="E382" s="9">
        <v>7</v>
      </c>
      <c r="F382" s="10">
        <v>14.99</v>
      </c>
      <c r="G382" s="9">
        <v>14.99</v>
      </c>
      <c r="H382" s="8">
        <v>60455086</v>
      </c>
      <c r="I382" s="7" t="s">
        <v>3234</v>
      </c>
      <c r="J382" s="11" t="s">
        <v>3231</v>
      </c>
      <c r="K382" s="7" t="s">
        <v>3334</v>
      </c>
      <c r="L382" s="7" t="s">
        <v>3368</v>
      </c>
      <c r="M382" s="12"/>
    </row>
    <row r="383" spans="1:13" ht="15.2" customHeight="1" x14ac:dyDescent="0.2">
      <c r="A383" s="6" t="s">
        <v>3043</v>
      </c>
      <c r="B383" s="7" t="s">
        <v>3044</v>
      </c>
      <c r="C383" s="8">
        <v>1</v>
      </c>
      <c r="D383" s="9">
        <v>7</v>
      </c>
      <c r="E383" s="9">
        <v>7</v>
      </c>
      <c r="F383" s="10">
        <v>16.989999999999998</v>
      </c>
      <c r="G383" s="9">
        <v>16.989999999999998</v>
      </c>
      <c r="H383" s="8" t="s">
        <v>4049</v>
      </c>
      <c r="I383" s="7"/>
      <c r="J383" s="11" t="s">
        <v>3202</v>
      </c>
      <c r="K383" s="7" t="s">
        <v>3343</v>
      </c>
      <c r="L383" s="7" t="s">
        <v>3324</v>
      </c>
      <c r="M383" s="12"/>
    </row>
    <row r="384" spans="1:13" ht="15.2" customHeight="1" x14ac:dyDescent="0.2">
      <c r="A384" s="6" t="s">
        <v>1134</v>
      </c>
      <c r="B384" s="7" t="s">
        <v>1135</v>
      </c>
      <c r="C384" s="8">
        <v>1</v>
      </c>
      <c r="D384" s="9">
        <v>6.5</v>
      </c>
      <c r="E384" s="9">
        <v>6.5</v>
      </c>
      <c r="F384" s="10">
        <v>12.99</v>
      </c>
      <c r="G384" s="9">
        <v>12.99</v>
      </c>
      <c r="H384" s="8" t="s">
        <v>3051</v>
      </c>
      <c r="I384" s="7" t="s">
        <v>3185</v>
      </c>
      <c r="J384" s="11" t="s">
        <v>3186</v>
      </c>
      <c r="K384" s="7" t="s">
        <v>3387</v>
      </c>
      <c r="L384" s="7" t="s">
        <v>3344</v>
      </c>
      <c r="M384" s="12"/>
    </row>
    <row r="385" spans="1:13" ht="15.2" customHeight="1" x14ac:dyDescent="0.2">
      <c r="A385" s="6" t="s">
        <v>1873</v>
      </c>
      <c r="B385" s="7" t="s">
        <v>1874</v>
      </c>
      <c r="C385" s="8">
        <v>1</v>
      </c>
      <c r="D385" s="9">
        <v>6.5</v>
      </c>
      <c r="E385" s="9">
        <v>6.5</v>
      </c>
      <c r="F385" s="10">
        <v>12.99</v>
      </c>
      <c r="G385" s="9">
        <v>12.99</v>
      </c>
      <c r="H385" s="8" t="s">
        <v>1875</v>
      </c>
      <c r="I385" s="7" t="s">
        <v>3421</v>
      </c>
      <c r="J385" s="11" t="s">
        <v>3186</v>
      </c>
      <c r="K385" s="7" t="s">
        <v>3387</v>
      </c>
      <c r="L385" s="7" t="s">
        <v>3404</v>
      </c>
      <c r="M385" s="12"/>
    </row>
    <row r="386" spans="1:13" ht="15.2" customHeight="1" x14ac:dyDescent="0.2">
      <c r="A386" s="6" t="s">
        <v>2028</v>
      </c>
      <c r="B386" s="7" t="s">
        <v>4211</v>
      </c>
      <c r="C386" s="8">
        <v>1</v>
      </c>
      <c r="D386" s="9">
        <v>6.32</v>
      </c>
      <c r="E386" s="9">
        <v>6.32</v>
      </c>
      <c r="F386" s="10">
        <v>14.99</v>
      </c>
      <c r="G386" s="9">
        <v>14.99</v>
      </c>
      <c r="H386" s="8" t="s">
        <v>4212</v>
      </c>
      <c r="I386" s="7" t="s">
        <v>3394</v>
      </c>
      <c r="J386" s="11" t="s">
        <v>3186</v>
      </c>
      <c r="K386" s="7" t="s">
        <v>3300</v>
      </c>
      <c r="L386" s="7" t="s">
        <v>3301</v>
      </c>
      <c r="M386" s="12"/>
    </row>
    <row r="387" spans="1:13" ht="15.2" customHeight="1" x14ac:dyDescent="0.2">
      <c r="A387" s="6" t="s">
        <v>1883</v>
      </c>
      <c r="B387" s="7" t="s">
        <v>1884</v>
      </c>
      <c r="C387" s="8">
        <v>1</v>
      </c>
      <c r="D387" s="9">
        <v>6.26</v>
      </c>
      <c r="E387" s="9">
        <v>6.26</v>
      </c>
      <c r="F387" s="10">
        <v>12.99</v>
      </c>
      <c r="G387" s="9">
        <v>12.99</v>
      </c>
      <c r="H387" s="8" t="s">
        <v>3597</v>
      </c>
      <c r="I387" s="7" t="s">
        <v>3263</v>
      </c>
      <c r="J387" s="11" t="s">
        <v>3236</v>
      </c>
      <c r="K387" s="7" t="s">
        <v>3300</v>
      </c>
      <c r="L387" s="7" t="s">
        <v>3301</v>
      </c>
      <c r="M387" s="12"/>
    </row>
    <row r="388" spans="1:13" ht="15.2" customHeight="1" x14ac:dyDescent="0.2">
      <c r="A388" s="6" t="s">
        <v>230</v>
      </c>
      <c r="B388" s="7" t="s">
        <v>2188</v>
      </c>
      <c r="C388" s="8">
        <v>1</v>
      </c>
      <c r="D388" s="9">
        <v>6.25</v>
      </c>
      <c r="E388" s="9">
        <v>6.25</v>
      </c>
      <c r="F388" s="10">
        <v>14.99</v>
      </c>
      <c r="G388" s="9">
        <v>14.99</v>
      </c>
      <c r="H388" s="8" t="s">
        <v>2189</v>
      </c>
      <c r="I388" s="7" t="s">
        <v>3355</v>
      </c>
      <c r="J388" s="11" t="s">
        <v>3236</v>
      </c>
      <c r="K388" s="7" t="s">
        <v>3300</v>
      </c>
      <c r="L388" s="7" t="s">
        <v>3301</v>
      </c>
      <c r="M388" s="12"/>
    </row>
    <row r="389" spans="1:13" ht="15.2" customHeight="1" x14ac:dyDescent="0.2">
      <c r="A389" s="6" t="s">
        <v>231</v>
      </c>
      <c r="B389" s="7" t="s">
        <v>695</v>
      </c>
      <c r="C389" s="8">
        <v>1</v>
      </c>
      <c r="D389" s="9">
        <v>6.15</v>
      </c>
      <c r="E389" s="9">
        <v>6.15</v>
      </c>
      <c r="F389" s="10">
        <v>14.99</v>
      </c>
      <c r="G389" s="9">
        <v>14.99</v>
      </c>
      <c r="H389" s="8" t="s">
        <v>696</v>
      </c>
      <c r="I389" s="7" t="s">
        <v>3640</v>
      </c>
      <c r="J389" s="11" t="s">
        <v>3242</v>
      </c>
      <c r="K389" s="7" t="s">
        <v>3300</v>
      </c>
      <c r="L389" s="7" t="s">
        <v>3301</v>
      </c>
      <c r="M389" s="12"/>
    </row>
    <row r="390" spans="1:13" ht="15.2" customHeight="1" x14ac:dyDescent="0.2">
      <c r="A390" s="6" t="s">
        <v>1574</v>
      </c>
      <c r="B390" s="7" t="s">
        <v>3602</v>
      </c>
      <c r="C390" s="8">
        <v>2</v>
      </c>
      <c r="D390" s="9">
        <v>5.75</v>
      </c>
      <c r="E390" s="9">
        <v>11.5</v>
      </c>
      <c r="F390" s="10">
        <v>12.99</v>
      </c>
      <c r="G390" s="9">
        <v>25.98</v>
      </c>
      <c r="H390" s="8" t="s">
        <v>3603</v>
      </c>
      <c r="I390" s="7" t="s">
        <v>3185</v>
      </c>
      <c r="J390" s="11" t="s">
        <v>3186</v>
      </c>
      <c r="K390" s="7" t="s">
        <v>3387</v>
      </c>
      <c r="L390" s="7" t="s">
        <v>3440</v>
      </c>
      <c r="M390" s="12"/>
    </row>
    <row r="391" spans="1:13" ht="15.2" customHeight="1" x14ac:dyDescent="0.2">
      <c r="A391" s="6" t="s">
        <v>3601</v>
      </c>
      <c r="B391" s="7" t="s">
        <v>3602</v>
      </c>
      <c r="C391" s="8">
        <v>1</v>
      </c>
      <c r="D391" s="9">
        <v>5.75</v>
      </c>
      <c r="E391" s="9">
        <v>5.75</v>
      </c>
      <c r="F391" s="10">
        <v>12.99</v>
      </c>
      <c r="G391" s="9">
        <v>12.99</v>
      </c>
      <c r="H391" s="8" t="s">
        <v>3603</v>
      </c>
      <c r="I391" s="7" t="s">
        <v>3185</v>
      </c>
      <c r="J391" s="11" t="s">
        <v>3202</v>
      </c>
      <c r="K391" s="7" t="s">
        <v>3387</v>
      </c>
      <c r="L391" s="7" t="s">
        <v>3440</v>
      </c>
      <c r="M391" s="12"/>
    </row>
    <row r="392" spans="1:13" ht="15.2" customHeight="1" x14ac:dyDescent="0.2">
      <c r="A392" s="6" t="s">
        <v>2191</v>
      </c>
      <c r="B392" s="7" t="s">
        <v>3602</v>
      </c>
      <c r="C392" s="8">
        <v>1</v>
      </c>
      <c r="D392" s="9">
        <v>5.75</v>
      </c>
      <c r="E392" s="9">
        <v>5.75</v>
      </c>
      <c r="F392" s="10">
        <v>12.99</v>
      </c>
      <c r="G392" s="9">
        <v>12.99</v>
      </c>
      <c r="H392" s="8" t="s">
        <v>3603</v>
      </c>
      <c r="I392" s="7" t="s">
        <v>3185</v>
      </c>
      <c r="J392" s="11" t="s">
        <v>3231</v>
      </c>
      <c r="K392" s="7" t="s">
        <v>3387</v>
      </c>
      <c r="L392" s="7" t="s">
        <v>3440</v>
      </c>
      <c r="M392" s="12"/>
    </row>
    <row r="393" spans="1:13" ht="15.2" customHeight="1" x14ac:dyDescent="0.2">
      <c r="A393" s="6" t="s">
        <v>232</v>
      </c>
      <c r="B393" s="7" t="s">
        <v>233</v>
      </c>
      <c r="C393" s="8">
        <v>1</v>
      </c>
      <c r="D393" s="9">
        <v>5.7</v>
      </c>
      <c r="E393" s="9">
        <v>5.7</v>
      </c>
      <c r="F393" s="10">
        <v>14.99</v>
      </c>
      <c r="G393" s="9">
        <v>14.99</v>
      </c>
      <c r="H393" s="8">
        <v>60453403</v>
      </c>
      <c r="I393" s="7" t="s">
        <v>3185</v>
      </c>
      <c r="J393" s="11" t="s">
        <v>3220</v>
      </c>
      <c r="K393" s="7" t="s">
        <v>3334</v>
      </c>
      <c r="L393" s="7" t="s">
        <v>3368</v>
      </c>
      <c r="M393" s="12"/>
    </row>
    <row r="394" spans="1:13" ht="15.2" customHeight="1" x14ac:dyDescent="0.2">
      <c r="A394" s="6" t="s">
        <v>1581</v>
      </c>
      <c r="B394" s="7" t="s">
        <v>3614</v>
      </c>
      <c r="C394" s="8">
        <v>1</v>
      </c>
      <c r="D394" s="9">
        <v>5.5</v>
      </c>
      <c r="E394" s="9">
        <v>5.5</v>
      </c>
      <c r="F394" s="10">
        <v>12.99</v>
      </c>
      <c r="G394" s="9">
        <v>12.99</v>
      </c>
      <c r="H394" s="8" t="s">
        <v>3615</v>
      </c>
      <c r="I394" s="7" t="s">
        <v>3252</v>
      </c>
      <c r="J394" s="11" t="s">
        <v>3202</v>
      </c>
      <c r="K394" s="7" t="s">
        <v>3387</v>
      </c>
      <c r="L394" s="7" t="s">
        <v>3404</v>
      </c>
      <c r="M394" s="12"/>
    </row>
    <row r="395" spans="1:13" ht="15.2" customHeight="1" x14ac:dyDescent="0.2">
      <c r="A395" s="6" t="s">
        <v>1124</v>
      </c>
      <c r="B395" s="7" t="s">
        <v>3623</v>
      </c>
      <c r="C395" s="8">
        <v>1</v>
      </c>
      <c r="D395" s="9">
        <v>5.5</v>
      </c>
      <c r="E395" s="9">
        <v>5.5</v>
      </c>
      <c r="F395" s="10">
        <v>12.99</v>
      </c>
      <c r="G395" s="9">
        <v>12.99</v>
      </c>
      <c r="H395" s="8" t="s">
        <v>3624</v>
      </c>
      <c r="I395" s="7" t="s">
        <v>3286</v>
      </c>
      <c r="J395" s="11" t="s">
        <v>3242</v>
      </c>
      <c r="K395" s="7" t="s">
        <v>3387</v>
      </c>
      <c r="L395" s="7" t="s">
        <v>3404</v>
      </c>
      <c r="M395" s="12"/>
    </row>
    <row r="396" spans="1:13" ht="15.2" customHeight="1" x14ac:dyDescent="0.2">
      <c r="A396" s="6" t="s">
        <v>2195</v>
      </c>
      <c r="B396" s="7" t="s">
        <v>2196</v>
      </c>
      <c r="C396" s="8">
        <v>1</v>
      </c>
      <c r="D396" s="9">
        <v>5.5</v>
      </c>
      <c r="E396" s="9">
        <v>5.5</v>
      </c>
      <c r="F396" s="10">
        <v>13.99</v>
      </c>
      <c r="G396" s="9">
        <v>13.99</v>
      </c>
      <c r="H396" s="8" t="s">
        <v>3606</v>
      </c>
      <c r="I396" s="7" t="s">
        <v>3257</v>
      </c>
      <c r="J396" s="11" t="s">
        <v>3186</v>
      </c>
      <c r="K396" s="7" t="s">
        <v>3241</v>
      </c>
      <c r="L396" s="7" t="s">
        <v>3427</v>
      </c>
      <c r="M396" s="12"/>
    </row>
    <row r="397" spans="1:13" ht="15.2" customHeight="1" x14ac:dyDescent="0.2">
      <c r="A397" s="6" t="s">
        <v>3616</v>
      </c>
      <c r="B397" s="7" t="s">
        <v>3617</v>
      </c>
      <c r="C397" s="8">
        <v>1</v>
      </c>
      <c r="D397" s="9">
        <v>5.5</v>
      </c>
      <c r="E397" s="9">
        <v>5.5</v>
      </c>
      <c r="F397" s="10">
        <v>13.99</v>
      </c>
      <c r="G397" s="9">
        <v>13.99</v>
      </c>
      <c r="H397" s="8" t="s">
        <v>3606</v>
      </c>
      <c r="I397" s="7" t="s">
        <v>3257</v>
      </c>
      <c r="J397" s="11" t="s">
        <v>3220</v>
      </c>
      <c r="K397" s="7" t="s">
        <v>3241</v>
      </c>
      <c r="L397" s="7" t="s">
        <v>3427</v>
      </c>
      <c r="M397" s="12"/>
    </row>
    <row r="398" spans="1:13" ht="15.2" customHeight="1" x14ac:dyDescent="0.2">
      <c r="A398" s="6" t="s">
        <v>3625</v>
      </c>
      <c r="B398" s="7" t="s">
        <v>3626</v>
      </c>
      <c r="C398" s="8">
        <v>1</v>
      </c>
      <c r="D398" s="9">
        <v>5.5</v>
      </c>
      <c r="E398" s="9">
        <v>5.5</v>
      </c>
      <c r="F398" s="10">
        <v>13.99</v>
      </c>
      <c r="G398" s="9">
        <v>13.99</v>
      </c>
      <c r="H398" s="8" t="s">
        <v>3606</v>
      </c>
      <c r="I398" s="7" t="s">
        <v>3203</v>
      </c>
      <c r="J398" s="11" t="s">
        <v>3186</v>
      </c>
      <c r="K398" s="7" t="s">
        <v>3241</v>
      </c>
      <c r="L398" s="7" t="s">
        <v>3427</v>
      </c>
      <c r="M398" s="12"/>
    </row>
    <row r="399" spans="1:13" ht="15.2" customHeight="1" x14ac:dyDescent="0.2">
      <c r="A399" s="6" t="s">
        <v>3629</v>
      </c>
      <c r="B399" s="7" t="s">
        <v>3630</v>
      </c>
      <c r="C399" s="8">
        <v>1</v>
      </c>
      <c r="D399" s="9">
        <v>5.5</v>
      </c>
      <c r="E399" s="9">
        <v>5.5</v>
      </c>
      <c r="F399" s="10">
        <v>13.99</v>
      </c>
      <c r="G399" s="9">
        <v>13.99</v>
      </c>
      <c r="H399" s="8" t="s">
        <v>3606</v>
      </c>
      <c r="I399" s="7" t="s">
        <v>3257</v>
      </c>
      <c r="J399" s="11" t="s">
        <v>3231</v>
      </c>
      <c r="K399" s="7" t="s">
        <v>3241</v>
      </c>
      <c r="L399" s="7" t="s">
        <v>3427</v>
      </c>
      <c r="M399" s="12"/>
    </row>
    <row r="400" spans="1:13" ht="15.2" customHeight="1" x14ac:dyDescent="0.2">
      <c r="A400" s="6" t="s">
        <v>3620</v>
      </c>
      <c r="B400" s="7" t="s">
        <v>3621</v>
      </c>
      <c r="C400" s="8">
        <v>1</v>
      </c>
      <c r="D400" s="9">
        <v>5.5</v>
      </c>
      <c r="E400" s="9">
        <v>5.5</v>
      </c>
      <c r="F400" s="10">
        <v>13.99</v>
      </c>
      <c r="G400" s="9">
        <v>13.99</v>
      </c>
      <c r="H400" s="8" t="s">
        <v>3606</v>
      </c>
      <c r="I400" s="7" t="s">
        <v>3203</v>
      </c>
      <c r="J400" s="11" t="s">
        <v>3220</v>
      </c>
      <c r="K400" s="7" t="s">
        <v>3241</v>
      </c>
      <c r="L400" s="7" t="s">
        <v>3427</v>
      </c>
      <c r="M400" s="12"/>
    </row>
    <row r="401" spans="1:13" ht="15.2" customHeight="1" x14ac:dyDescent="0.2">
      <c r="A401" s="6" t="s">
        <v>3055</v>
      </c>
      <c r="B401" s="7" t="s">
        <v>4050</v>
      </c>
      <c r="C401" s="8">
        <v>1</v>
      </c>
      <c r="D401" s="9">
        <v>5.5</v>
      </c>
      <c r="E401" s="9">
        <v>5.5</v>
      </c>
      <c r="F401" s="10">
        <v>12.99</v>
      </c>
      <c r="G401" s="9">
        <v>12.99</v>
      </c>
      <c r="H401" s="8" t="s">
        <v>4051</v>
      </c>
      <c r="I401" s="7" t="s">
        <v>3214</v>
      </c>
      <c r="J401" s="11" t="s">
        <v>3186</v>
      </c>
      <c r="K401" s="7" t="s">
        <v>3387</v>
      </c>
      <c r="L401" s="7" t="s">
        <v>3404</v>
      </c>
      <c r="M401" s="12"/>
    </row>
    <row r="402" spans="1:13" ht="15.2" customHeight="1" x14ac:dyDescent="0.2">
      <c r="A402" s="6" t="s">
        <v>3611</v>
      </c>
      <c r="B402" s="7" t="s">
        <v>3612</v>
      </c>
      <c r="C402" s="8">
        <v>1</v>
      </c>
      <c r="D402" s="9">
        <v>5.5</v>
      </c>
      <c r="E402" s="9">
        <v>5.5</v>
      </c>
      <c r="F402" s="10">
        <v>13.99</v>
      </c>
      <c r="G402" s="9">
        <v>13.99</v>
      </c>
      <c r="H402" s="8" t="s">
        <v>3606</v>
      </c>
      <c r="I402" s="7" t="s">
        <v>3234</v>
      </c>
      <c r="J402" s="11" t="s">
        <v>3186</v>
      </c>
      <c r="K402" s="7" t="s">
        <v>3241</v>
      </c>
      <c r="L402" s="7" t="s">
        <v>3427</v>
      </c>
      <c r="M402" s="12"/>
    </row>
    <row r="403" spans="1:13" ht="15.2" customHeight="1" x14ac:dyDescent="0.2">
      <c r="A403" s="6" t="s">
        <v>3618</v>
      </c>
      <c r="B403" s="7" t="s">
        <v>3619</v>
      </c>
      <c r="C403" s="8">
        <v>1</v>
      </c>
      <c r="D403" s="9">
        <v>5.5</v>
      </c>
      <c r="E403" s="9">
        <v>5.5</v>
      </c>
      <c r="F403" s="10">
        <v>13.99</v>
      </c>
      <c r="G403" s="9">
        <v>13.99</v>
      </c>
      <c r="H403" s="8" t="s">
        <v>3606</v>
      </c>
      <c r="I403" s="7" t="s">
        <v>3203</v>
      </c>
      <c r="J403" s="11" t="s">
        <v>3236</v>
      </c>
      <c r="K403" s="7" t="s">
        <v>3241</v>
      </c>
      <c r="L403" s="7" t="s">
        <v>3427</v>
      </c>
      <c r="M403" s="12"/>
    </row>
    <row r="404" spans="1:13" ht="15.2" customHeight="1" x14ac:dyDescent="0.2">
      <c r="A404" s="6" t="s">
        <v>746</v>
      </c>
      <c r="B404" s="7" t="s">
        <v>747</v>
      </c>
      <c r="C404" s="8">
        <v>1</v>
      </c>
      <c r="D404" s="9">
        <v>4.67</v>
      </c>
      <c r="E404" s="9">
        <v>4.67</v>
      </c>
      <c r="F404" s="10">
        <v>12.99</v>
      </c>
      <c r="G404" s="9">
        <v>12.99</v>
      </c>
      <c r="H404" s="8" t="s">
        <v>4215</v>
      </c>
      <c r="I404" s="7" t="s">
        <v>3286</v>
      </c>
      <c r="J404" s="11" t="s">
        <v>3186</v>
      </c>
      <c r="K404" s="7" t="s">
        <v>3387</v>
      </c>
      <c r="L404" s="7" t="s">
        <v>3425</v>
      </c>
      <c r="M404" s="12"/>
    </row>
    <row r="405" spans="1:13" ht="15.2" customHeight="1" x14ac:dyDescent="0.2">
      <c r="A405" s="6" t="s">
        <v>2477</v>
      </c>
      <c r="B405" s="7" t="s">
        <v>2478</v>
      </c>
      <c r="C405" s="8">
        <v>1</v>
      </c>
      <c r="D405" s="9">
        <v>4.67</v>
      </c>
      <c r="E405" s="9">
        <v>4.67</v>
      </c>
      <c r="F405" s="10">
        <v>12.99</v>
      </c>
      <c r="G405" s="9">
        <v>12.99</v>
      </c>
      <c r="H405" s="8" t="s">
        <v>4215</v>
      </c>
      <c r="I405" s="7" t="s">
        <v>3286</v>
      </c>
      <c r="J405" s="11" t="s">
        <v>3231</v>
      </c>
      <c r="K405" s="7" t="s">
        <v>3387</v>
      </c>
      <c r="L405" s="7" t="s">
        <v>3425</v>
      </c>
      <c r="M405" s="12"/>
    </row>
  </sheetData>
  <phoneticPr fontId="0" type="noConversion"/>
  <pageMargins left="0.5" right="0.5" top="0.25" bottom="0.25" header="0.3" footer="0.3"/>
  <pageSetup scale="65" orientation="landscape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19" sqref="Q19"/>
    </sheetView>
  </sheetViews>
  <sheetFormatPr defaultRowHeight="15" x14ac:dyDescent="0.25"/>
  <sheetData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Pallets</vt:lpstr>
      <vt:lpstr>10041825</vt:lpstr>
      <vt:lpstr>10046104</vt:lpstr>
      <vt:lpstr>10063308</vt:lpstr>
      <vt:lpstr>10071075</vt:lpstr>
      <vt:lpstr>10077602</vt:lpstr>
      <vt:lpstr>AMZ Apparel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2018-11-08T14:48:25Z</cp:lastPrinted>
  <dcterms:created xsi:type="dcterms:W3CDTF">2017-08-07T16:53:14Z</dcterms:created>
  <dcterms:modified xsi:type="dcterms:W3CDTF">2018-12-05T17:43:23Z</dcterms:modified>
</cp:coreProperties>
</file>